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en_yzlvlwi\Documents\"/>
    </mc:Choice>
  </mc:AlternateContent>
  <xr:revisionPtr revIDLastSave="0" documentId="8_{2EAD28B5-4B4B-49A0-871A-7B943A99BA7E}" xr6:coauthVersionLast="47" xr6:coauthVersionMax="47" xr10:uidLastSave="{00000000-0000-0000-0000-000000000000}"/>
  <bookViews>
    <workbookView xWindow="-108" yWindow="-108" windowWidth="23256" windowHeight="12456" xr2:uid="{732203AE-402D-4C6F-897F-BFDA13DF2470}"/>
  </bookViews>
  <sheets>
    <sheet name="Lembar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0" i="1" l="1"/>
  <c r="J179" i="1" s="1"/>
  <c r="I180" i="1"/>
  <c r="F180" i="1"/>
  <c r="F179" i="1" s="1"/>
  <c r="E180" i="1"/>
  <c r="E179" i="1" s="1"/>
  <c r="D180" i="1"/>
  <c r="D179" i="1" s="1"/>
  <c r="J178" i="1"/>
  <c r="J177" i="1" s="1"/>
  <c r="I178" i="1"/>
  <c r="I177" i="1" s="1"/>
  <c r="K177" i="1" s="1"/>
  <c r="F178" i="1"/>
  <c r="F177" i="1" s="1"/>
  <c r="E178" i="1"/>
  <c r="G178" i="1" s="1"/>
  <c r="G177" i="1" s="1"/>
  <c r="D178" i="1"/>
  <c r="E177" i="1"/>
  <c r="D177" i="1"/>
  <c r="J176" i="1"/>
  <c r="J174" i="1" s="1"/>
  <c r="K174" i="1" s="1"/>
  <c r="I176" i="1"/>
  <c r="G176" i="1"/>
  <c r="F176" i="1"/>
  <c r="E176" i="1"/>
  <c r="D176" i="1"/>
  <c r="J175" i="1"/>
  <c r="I175" i="1"/>
  <c r="I174" i="1" s="1"/>
  <c r="F175" i="1"/>
  <c r="F174" i="1" s="1"/>
  <c r="E175" i="1"/>
  <c r="E174" i="1" s="1"/>
  <c r="D175" i="1"/>
  <c r="D174" i="1" s="1"/>
  <c r="J173" i="1"/>
  <c r="J172" i="1" s="1"/>
  <c r="I173" i="1"/>
  <c r="I172" i="1" s="1"/>
  <c r="K172" i="1" s="1"/>
  <c r="F173" i="1"/>
  <c r="F172" i="1" s="1"/>
  <c r="E173" i="1"/>
  <c r="D173" i="1"/>
  <c r="G173" i="1" s="1"/>
  <c r="G172" i="1" s="1"/>
  <c r="E172" i="1"/>
  <c r="D172" i="1"/>
  <c r="J171" i="1"/>
  <c r="J170" i="1" s="1"/>
  <c r="I171" i="1"/>
  <c r="I170" i="1" s="1"/>
  <c r="G171" i="1"/>
  <c r="F171" i="1"/>
  <c r="E171" i="1"/>
  <c r="D171" i="1"/>
  <c r="G170" i="1"/>
  <c r="F170" i="1"/>
  <c r="E170" i="1"/>
  <c r="D170" i="1"/>
  <c r="J169" i="1"/>
  <c r="J168" i="1" s="1"/>
  <c r="I169" i="1"/>
  <c r="K169" i="1" s="1"/>
  <c r="F169" i="1"/>
  <c r="E169" i="1"/>
  <c r="D169" i="1"/>
  <c r="G169" i="1" s="1"/>
  <c r="G168" i="1"/>
  <c r="F168" i="1"/>
  <c r="E168" i="1"/>
  <c r="D168" i="1"/>
  <c r="K167" i="1"/>
  <c r="J167" i="1"/>
  <c r="I167" i="1"/>
  <c r="F167" i="1"/>
  <c r="E167" i="1"/>
  <c r="D167" i="1"/>
  <c r="G167" i="1" s="1"/>
  <c r="J166" i="1"/>
  <c r="I166" i="1"/>
  <c r="K166" i="1" s="1"/>
  <c r="F166" i="1"/>
  <c r="E166" i="1"/>
  <c r="G166" i="1" s="1"/>
  <c r="D166" i="1"/>
  <c r="J165" i="1"/>
  <c r="I165" i="1"/>
  <c r="K165" i="1" s="1"/>
  <c r="F165" i="1"/>
  <c r="E165" i="1"/>
  <c r="D165" i="1"/>
  <c r="J164" i="1"/>
  <c r="I164" i="1"/>
  <c r="K164" i="1" s="1"/>
  <c r="G164" i="1"/>
  <c r="F164" i="1"/>
  <c r="E164" i="1"/>
  <c r="D164" i="1"/>
  <c r="J163" i="1"/>
  <c r="I163" i="1"/>
  <c r="K163" i="1" s="1"/>
  <c r="F163" i="1"/>
  <c r="F161" i="1" s="1"/>
  <c r="E163" i="1"/>
  <c r="D163" i="1"/>
  <c r="G163" i="1" s="1"/>
  <c r="J162" i="1"/>
  <c r="K162" i="1" s="1"/>
  <c r="I162" i="1"/>
  <c r="F162" i="1"/>
  <c r="E162" i="1"/>
  <c r="D162" i="1"/>
  <c r="G162" i="1" s="1"/>
  <c r="J161" i="1"/>
  <c r="J160" i="1"/>
  <c r="I160" i="1"/>
  <c r="K160" i="1" s="1"/>
  <c r="F160" i="1"/>
  <c r="E160" i="1"/>
  <c r="D160" i="1"/>
  <c r="G160" i="1" s="1"/>
  <c r="J159" i="1"/>
  <c r="J157" i="1" s="1"/>
  <c r="I159" i="1"/>
  <c r="I157" i="1" s="1"/>
  <c r="K157" i="1" s="1"/>
  <c r="G159" i="1"/>
  <c r="F159" i="1"/>
  <c r="E159" i="1"/>
  <c r="D159" i="1"/>
  <c r="J158" i="1"/>
  <c r="I158" i="1"/>
  <c r="K158" i="1" s="1"/>
  <c r="F158" i="1"/>
  <c r="F157" i="1" s="1"/>
  <c r="E158" i="1"/>
  <c r="E157" i="1" s="1"/>
  <c r="D158" i="1"/>
  <c r="D157" i="1" s="1"/>
  <c r="J156" i="1"/>
  <c r="I156" i="1"/>
  <c r="K156" i="1" s="1"/>
  <c r="F156" i="1"/>
  <c r="E156" i="1"/>
  <c r="D156" i="1"/>
  <c r="G156" i="1" s="1"/>
  <c r="K155" i="1"/>
  <c r="J155" i="1"/>
  <c r="I155" i="1"/>
  <c r="F155" i="1"/>
  <c r="E155" i="1"/>
  <c r="D155" i="1"/>
  <c r="G155" i="1" s="1"/>
  <c r="J154" i="1"/>
  <c r="J153" i="1" s="1"/>
  <c r="I154" i="1"/>
  <c r="F154" i="1"/>
  <c r="E154" i="1"/>
  <c r="G154" i="1" s="1"/>
  <c r="G153" i="1" s="1"/>
  <c r="D154" i="1"/>
  <c r="F153" i="1"/>
  <c r="E153" i="1"/>
  <c r="D153" i="1"/>
  <c r="K152" i="1"/>
  <c r="J152" i="1"/>
  <c r="J151" i="1" s="1"/>
  <c r="I152" i="1"/>
  <c r="G152" i="1"/>
  <c r="F152" i="1"/>
  <c r="E152" i="1"/>
  <c r="D152" i="1"/>
  <c r="I151" i="1"/>
  <c r="K151" i="1" s="1"/>
  <c r="G151" i="1"/>
  <c r="F151" i="1"/>
  <c r="E151" i="1"/>
  <c r="D151" i="1"/>
  <c r="J150" i="1"/>
  <c r="K150" i="1" s="1"/>
  <c r="I150" i="1"/>
  <c r="F150" i="1"/>
  <c r="E150" i="1"/>
  <c r="D150" i="1"/>
  <c r="G150" i="1" s="1"/>
  <c r="J149" i="1"/>
  <c r="I149" i="1"/>
  <c r="K149" i="1" s="1"/>
  <c r="F149" i="1"/>
  <c r="E149" i="1"/>
  <c r="E141" i="1" s="1"/>
  <c r="D149" i="1"/>
  <c r="J148" i="1"/>
  <c r="I148" i="1"/>
  <c r="K148" i="1" s="1"/>
  <c r="F148" i="1"/>
  <c r="E148" i="1"/>
  <c r="D148" i="1"/>
  <c r="G148" i="1" s="1"/>
  <c r="J147" i="1"/>
  <c r="I147" i="1"/>
  <c r="K147" i="1" s="1"/>
  <c r="F147" i="1"/>
  <c r="F141" i="1" s="1"/>
  <c r="E147" i="1"/>
  <c r="D147" i="1"/>
  <c r="J146" i="1"/>
  <c r="I146" i="1"/>
  <c r="K146" i="1" s="1"/>
  <c r="F146" i="1"/>
  <c r="E146" i="1"/>
  <c r="D146" i="1"/>
  <c r="G146" i="1" s="1"/>
  <c r="J145" i="1"/>
  <c r="I145" i="1"/>
  <c r="K145" i="1" s="1"/>
  <c r="F145" i="1"/>
  <c r="E145" i="1"/>
  <c r="D145" i="1"/>
  <c r="G145" i="1" s="1"/>
  <c r="J144" i="1"/>
  <c r="I144" i="1"/>
  <c r="F144" i="1"/>
  <c r="E144" i="1"/>
  <c r="D144" i="1"/>
  <c r="G144" i="1" s="1"/>
  <c r="K143" i="1"/>
  <c r="J143" i="1"/>
  <c r="I143" i="1"/>
  <c r="F143" i="1"/>
  <c r="E143" i="1"/>
  <c r="D143" i="1"/>
  <c r="G143" i="1" s="1"/>
  <c r="J142" i="1"/>
  <c r="I142" i="1"/>
  <c r="F142" i="1"/>
  <c r="E142" i="1"/>
  <c r="G142" i="1" s="1"/>
  <c r="D142" i="1"/>
  <c r="D141" i="1"/>
  <c r="K140" i="1"/>
  <c r="J140" i="1"/>
  <c r="I140" i="1"/>
  <c r="G140" i="1"/>
  <c r="F140" i="1"/>
  <c r="E140" i="1"/>
  <c r="D140" i="1"/>
  <c r="J139" i="1"/>
  <c r="I139" i="1"/>
  <c r="K139" i="1" s="1"/>
  <c r="F139" i="1"/>
  <c r="E139" i="1"/>
  <c r="D139" i="1"/>
  <c r="D137" i="1" s="1"/>
  <c r="J138" i="1"/>
  <c r="K138" i="1" s="1"/>
  <c r="I138" i="1"/>
  <c r="F138" i="1"/>
  <c r="E138" i="1"/>
  <c r="D138" i="1"/>
  <c r="G138" i="1" s="1"/>
  <c r="J137" i="1"/>
  <c r="I137" i="1"/>
  <c r="K137" i="1" s="1"/>
  <c r="F137" i="1"/>
  <c r="E137" i="1"/>
  <c r="J136" i="1"/>
  <c r="I136" i="1"/>
  <c r="K136" i="1" s="1"/>
  <c r="F136" i="1"/>
  <c r="E136" i="1"/>
  <c r="D136" i="1"/>
  <c r="G136" i="1" s="1"/>
  <c r="J135" i="1"/>
  <c r="I135" i="1"/>
  <c r="K135" i="1" s="1"/>
  <c r="F135" i="1"/>
  <c r="G135" i="1" s="1"/>
  <c r="E135" i="1"/>
  <c r="D135" i="1"/>
  <c r="J134" i="1"/>
  <c r="I134" i="1"/>
  <c r="K134" i="1" s="1"/>
  <c r="F134" i="1"/>
  <c r="E134" i="1"/>
  <c r="E133" i="1" s="1"/>
  <c r="D134" i="1"/>
  <c r="D133" i="1" s="1"/>
  <c r="J133" i="1"/>
  <c r="I133" i="1"/>
  <c r="K133" i="1" s="1"/>
  <c r="J132" i="1"/>
  <c r="I132" i="1"/>
  <c r="K132" i="1" s="1"/>
  <c r="F132" i="1"/>
  <c r="E132" i="1"/>
  <c r="D132" i="1"/>
  <c r="G132" i="1" s="1"/>
  <c r="K131" i="1"/>
  <c r="J131" i="1"/>
  <c r="I131" i="1"/>
  <c r="F131" i="1"/>
  <c r="E131" i="1"/>
  <c r="D131" i="1"/>
  <c r="G131" i="1" s="1"/>
  <c r="J130" i="1"/>
  <c r="J129" i="1" s="1"/>
  <c r="I130" i="1"/>
  <c r="F130" i="1"/>
  <c r="E130" i="1"/>
  <c r="G130" i="1" s="1"/>
  <c r="D130" i="1"/>
  <c r="F129" i="1"/>
  <c r="E129" i="1"/>
  <c r="J128" i="1"/>
  <c r="I128" i="1"/>
  <c r="I125" i="1" s="1"/>
  <c r="K125" i="1" s="1"/>
  <c r="G128" i="1"/>
  <c r="F128" i="1"/>
  <c r="E128" i="1"/>
  <c r="D128" i="1"/>
  <c r="J127" i="1"/>
  <c r="I127" i="1"/>
  <c r="K127" i="1" s="1"/>
  <c r="F127" i="1"/>
  <c r="E127" i="1"/>
  <c r="D127" i="1"/>
  <c r="G127" i="1" s="1"/>
  <c r="G125" i="1" s="1"/>
  <c r="J126" i="1"/>
  <c r="J125" i="1" s="1"/>
  <c r="I126" i="1"/>
  <c r="F126" i="1"/>
  <c r="E126" i="1"/>
  <c r="D126" i="1"/>
  <c r="G126" i="1" s="1"/>
  <c r="F125" i="1"/>
  <c r="E125" i="1"/>
  <c r="D125" i="1"/>
  <c r="J124" i="1"/>
  <c r="I124" i="1"/>
  <c r="K124" i="1" s="1"/>
  <c r="F124" i="1"/>
  <c r="E124" i="1"/>
  <c r="D124" i="1"/>
  <c r="J123" i="1"/>
  <c r="I123" i="1"/>
  <c r="K123" i="1" s="1"/>
  <c r="F123" i="1"/>
  <c r="G123" i="1" s="1"/>
  <c r="E123" i="1"/>
  <c r="D123" i="1"/>
  <c r="J122" i="1"/>
  <c r="I122" i="1"/>
  <c r="K122" i="1" s="1"/>
  <c r="F122" i="1"/>
  <c r="E122" i="1"/>
  <c r="D122" i="1"/>
  <c r="D121" i="1" s="1"/>
  <c r="J121" i="1"/>
  <c r="I121" i="1"/>
  <c r="K121" i="1" s="1"/>
  <c r="J120" i="1"/>
  <c r="I120" i="1"/>
  <c r="K120" i="1" s="1"/>
  <c r="F120" i="1"/>
  <c r="E120" i="1"/>
  <c r="E117" i="1" s="1"/>
  <c r="D120" i="1"/>
  <c r="K119" i="1"/>
  <c r="J119" i="1"/>
  <c r="I119" i="1"/>
  <c r="F119" i="1"/>
  <c r="E119" i="1"/>
  <c r="D119" i="1"/>
  <c r="G119" i="1" s="1"/>
  <c r="J118" i="1"/>
  <c r="J117" i="1" s="1"/>
  <c r="I118" i="1"/>
  <c r="I117" i="1" s="1"/>
  <c r="K117" i="1" s="1"/>
  <c r="F118" i="1"/>
  <c r="G118" i="1" s="1"/>
  <c r="E118" i="1"/>
  <c r="D118" i="1"/>
  <c r="J116" i="1"/>
  <c r="I116" i="1"/>
  <c r="K116" i="1" s="1"/>
  <c r="G116" i="1"/>
  <c r="F116" i="1"/>
  <c r="E116" i="1"/>
  <c r="D116" i="1"/>
  <c r="J115" i="1"/>
  <c r="I115" i="1"/>
  <c r="K115" i="1" s="1"/>
  <c r="F115" i="1"/>
  <c r="E115" i="1"/>
  <c r="D115" i="1"/>
  <c r="G115" i="1" s="1"/>
  <c r="J114" i="1"/>
  <c r="K114" i="1" s="1"/>
  <c r="I114" i="1"/>
  <c r="F114" i="1"/>
  <c r="E114" i="1"/>
  <c r="D114" i="1"/>
  <c r="G114" i="1" s="1"/>
  <c r="J113" i="1"/>
  <c r="I113" i="1"/>
  <c r="F113" i="1"/>
  <c r="E113" i="1"/>
  <c r="D113" i="1"/>
  <c r="G113" i="1" s="1"/>
  <c r="G112" i="1" s="1"/>
  <c r="E112" i="1"/>
  <c r="D112" i="1"/>
  <c r="J111" i="1"/>
  <c r="I111" i="1"/>
  <c r="K111" i="1" s="1"/>
  <c r="F111" i="1"/>
  <c r="G111" i="1" s="1"/>
  <c r="E111" i="1"/>
  <c r="D111" i="1"/>
  <c r="J110" i="1"/>
  <c r="I110" i="1"/>
  <c r="K110" i="1" s="1"/>
  <c r="F110" i="1"/>
  <c r="E110" i="1"/>
  <c r="D110" i="1"/>
  <c r="G110" i="1" s="1"/>
  <c r="J109" i="1"/>
  <c r="J106" i="1" s="1"/>
  <c r="I109" i="1"/>
  <c r="F109" i="1"/>
  <c r="E109" i="1"/>
  <c r="D109" i="1"/>
  <c r="G109" i="1" s="1"/>
  <c r="J108" i="1"/>
  <c r="I108" i="1"/>
  <c r="K108" i="1" s="1"/>
  <c r="F108" i="1"/>
  <c r="E108" i="1"/>
  <c r="D108" i="1"/>
  <c r="G108" i="1" s="1"/>
  <c r="K107" i="1"/>
  <c r="J107" i="1"/>
  <c r="I107" i="1"/>
  <c r="F107" i="1"/>
  <c r="E107" i="1"/>
  <c r="D107" i="1"/>
  <c r="F106" i="1"/>
  <c r="E106" i="1"/>
  <c r="J105" i="1"/>
  <c r="I105" i="1"/>
  <c r="K105" i="1" s="1"/>
  <c r="F105" i="1"/>
  <c r="E105" i="1"/>
  <c r="D105" i="1"/>
  <c r="J104" i="1"/>
  <c r="I104" i="1"/>
  <c r="K104" i="1" s="1"/>
  <c r="G104" i="1"/>
  <c r="F104" i="1"/>
  <c r="E104" i="1"/>
  <c r="D104" i="1"/>
  <c r="J103" i="1"/>
  <c r="I103" i="1"/>
  <c r="F103" i="1"/>
  <c r="F102" i="1" s="1"/>
  <c r="E103" i="1"/>
  <c r="D103" i="1"/>
  <c r="D102" i="1" s="1"/>
  <c r="J102" i="1"/>
  <c r="J101" i="1"/>
  <c r="I101" i="1"/>
  <c r="K101" i="1" s="1"/>
  <c r="F101" i="1"/>
  <c r="E101" i="1"/>
  <c r="G101" i="1" s="1"/>
  <c r="D101" i="1"/>
  <c r="J100" i="1"/>
  <c r="I100" i="1"/>
  <c r="K100" i="1" s="1"/>
  <c r="F100" i="1"/>
  <c r="E100" i="1"/>
  <c r="D100" i="1"/>
  <c r="G100" i="1" s="1"/>
  <c r="J99" i="1"/>
  <c r="I99" i="1"/>
  <c r="K99" i="1" s="1"/>
  <c r="F99" i="1"/>
  <c r="G99" i="1" s="1"/>
  <c r="E99" i="1"/>
  <c r="D99" i="1"/>
  <c r="J98" i="1"/>
  <c r="I98" i="1"/>
  <c r="K98" i="1" s="1"/>
  <c r="F98" i="1"/>
  <c r="E98" i="1"/>
  <c r="E96" i="1" s="1"/>
  <c r="D98" i="1"/>
  <c r="D96" i="1" s="1"/>
  <c r="J97" i="1"/>
  <c r="J96" i="1" s="1"/>
  <c r="I97" i="1"/>
  <c r="K97" i="1" s="1"/>
  <c r="F97" i="1"/>
  <c r="E97" i="1"/>
  <c r="D97" i="1"/>
  <c r="G97" i="1" s="1"/>
  <c r="K95" i="1"/>
  <c r="J95" i="1"/>
  <c r="I95" i="1"/>
  <c r="F95" i="1"/>
  <c r="E95" i="1"/>
  <c r="D95" i="1"/>
  <c r="G95" i="1" s="1"/>
  <c r="J94" i="1"/>
  <c r="I94" i="1"/>
  <c r="K94" i="1" s="1"/>
  <c r="F94" i="1"/>
  <c r="E94" i="1"/>
  <c r="G94" i="1" s="1"/>
  <c r="D94" i="1"/>
  <c r="J93" i="1"/>
  <c r="I93" i="1"/>
  <c r="K93" i="1" s="1"/>
  <c r="F93" i="1"/>
  <c r="F91" i="1" s="1"/>
  <c r="E93" i="1"/>
  <c r="E91" i="1" s="1"/>
  <c r="D93" i="1"/>
  <c r="J92" i="1"/>
  <c r="J91" i="1" s="1"/>
  <c r="I92" i="1"/>
  <c r="K92" i="1" s="1"/>
  <c r="G92" i="1"/>
  <c r="F92" i="1"/>
  <c r="E92" i="1"/>
  <c r="D92" i="1"/>
  <c r="I91" i="1"/>
  <c r="K91" i="1" s="1"/>
  <c r="D91" i="1"/>
  <c r="K90" i="1"/>
  <c r="J90" i="1"/>
  <c r="I90" i="1"/>
  <c r="F90" i="1"/>
  <c r="E90" i="1"/>
  <c r="D90" i="1"/>
  <c r="G90" i="1" s="1"/>
  <c r="J89" i="1"/>
  <c r="I89" i="1"/>
  <c r="K89" i="1" s="1"/>
  <c r="F89" i="1"/>
  <c r="G89" i="1" s="1"/>
  <c r="E89" i="1"/>
  <c r="D89" i="1"/>
  <c r="J88" i="1"/>
  <c r="I88" i="1"/>
  <c r="K88" i="1" s="1"/>
  <c r="F88" i="1"/>
  <c r="E88" i="1"/>
  <c r="D88" i="1"/>
  <c r="G88" i="1" s="1"/>
  <c r="J87" i="1"/>
  <c r="I87" i="1"/>
  <c r="K87" i="1" s="1"/>
  <c r="F87" i="1"/>
  <c r="G87" i="1" s="1"/>
  <c r="E87" i="1"/>
  <c r="D87" i="1"/>
  <c r="J86" i="1"/>
  <c r="I86" i="1"/>
  <c r="K86" i="1" s="1"/>
  <c r="F86" i="1"/>
  <c r="E86" i="1"/>
  <c r="D86" i="1"/>
  <c r="G86" i="1" s="1"/>
  <c r="J85" i="1"/>
  <c r="J82" i="1" s="1"/>
  <c r="I85" i="1"/>
  <c r="K85" i="1" s="1"/>
  <c r="F85" i="1"/>
  <c r="E85" i="1"/>
  <c r="D85" i="1"/>
  <c r="G85" i="1" s="1"/>
  <c r="J84" i="1"/>
  <c r="I84" i="1"/>
  <c r="K84" i="1" s="1"/>
  <c r="F84" i="1"/>
  <c r="E84" i="1"/>
  <c r="D84" i="1"/>
  <c r="G84" i="1" s="1"/>
  <c r="K83" i="1"/>
  <c r="J83" i="1"/>
  <c r="I83" i="1"/>
  <c r="F83" i="1"/>
  <c r="E83" i="1"/>
  <c r="D83" i="1"/>
  <c r="E82" i="1"/>
  <c r="J81" i="1"/>
  <c r="I81" i="1"/>
  <c r="K81" i="1" s="1"/>
  <c r="F81" i="1"/>
  <c r="E81" i="1"/>
  <c r="D81" i="1"/>
  <c r="J80" i="1"/>
  <c r="I80" i="1"/>
  <c r="K80" i="1" s="1"/>
  <c r="G80" i="1"/>
  <c r="F80" i="1"/>
  <c r="E80" i="1"/>
  <c r="D80" i="1"/>
  <c r="J79" i="1"/>
  <c r="I79" i="1"/>
  <c r="K79" i="1" s="1"/>
  <c r="F79" i="1"/>
  <c r="G79" i="1" s="1"/>
  <c r="E79" i="1"/>
  <c r="D79" i="1"/>
  <c r="J78" i="1"/>
  <c r="K78" i="1" s="1"/>
  <c r="I78" i="1"/>
  <c r="F78" i="1"/>
  <c r="E78" i="1"/>
  <c r="D78" i="1"/>
  <c r="G78" i="1" s="1"/>
  <c r="J77" i="1"/>
  <c r="I77" i="1"/>
  <c r="K77" i="1" s="1"/>
  <c r="G77" i="1"/>
  <c r="F77" i="1"/>
  <c r="E77" i="1"/>
  <c r="D77" i="1"/>
  <c r="J76" i="1"/>
  <c r="I76" i="1"/>
  <c r="K76" i="1" s="1"/>
  <c r="F76" i="1"/>
  <c r="E76" i="1"/>
  <c r="D76" i="1"/>
  <c r="G76" i="1" s="1"/>
  <c r="J75" i="1"/>
  <c r="I75" i="1"/>
  <c r="K75" i="1" s="1"/>
  <c r="G75" i="1"/>
  <c r="F75" i="1"/>
  <c r="E75" i="1"/>
  <c r="D75" i="1"/>
  <c r="J74" i="1"/>
  <c r="I74" i="1"/>
  <c r="K74" i="1" s="1"/>
  <c r="F74" i="1"/>
  <c r="E74" i="1"/>
  <c r="D74" i="1"/>
  <c r="G74" i="1" s="1"/>
  <c r="J73" i="1"/>
  <c r="I73" i="1"/>
  <c r="K73" i="1" s="1"/>
  <c r="F73" i="1"/>
  <c r="E73" i="1"/>
  <c r="D73" i="1"/>
  <c r="G73" i="1" s="1"/>
  <c r="J72" i="1"/>
  <c r="I72" i="1"/>
  <c r="F72" i="1"/>
  <c r="E72" i="1"/>
  <c r="D72" i="1"/>
  <c r="G72" i="1" s="1"/>
  <c r="K71" i="1"/>
  <c r="J71" i="1"/>
  <c r="I71" i="1"/>
  <c r="F71" i="1"/>
  <c r="E71" i="1"/>
  <c r="D71" i="1"/>
  <c r="G71" i="1" s="1"/>
  <c r="J70" i="1"/>
  <c r="I70" i="1"/>
  <c r="K70" i="1" s="1"/>
  <c r="F70" i="1"/>
  <c r="E70" i="1"/>
  <c r="G70" i="1" s="1"/>
  <c r="D70" i="1"/>
  <c r="J69" i="1"/>
  <c r="I69" i="1"/>
  <c r="K69" i="1" s="1"/>
  <c r="F69" i="1"/>
  <c r="E69" i="1"/>
  <c r="D69" i="1"/>
  <c r="J68" i="1"/>
  <c r="I68" i="1"/>
  <c r="K68" i="1" s="1"/>
  <c r="G68" i="1"/>
  <c r="F68" i="1"/>
  <c r="E68" i="1"/>
  <c r="D68" i="1"/>
  <c r="J67" i="1"/>
  <c r="I67" i="1"/>
  <c r="K67" i="1" s="1"/>
  <c r="F67" i="1"/>
  <c r="E67" i="1"/>
  <c r="D67" i="1"/>
  <c r="G67" i="1" s="1"/>
  <c r="J66" i="1"/>
  <c r="K66" i="1" s="1"/>
  <c r="I66" i="1"/>
  <c r="F66" i="1"/>
  <c r="E66" i="1"/>
  <c r="D66" i="1"/>
  <c r="G66" i="1" s="1"/>
  <c r="J65" i="1"/>
  <c r="K65" i="1" s="1"/>
  <c r="I65" i="1"/>
  <c r="F65" i="1"/>
  <c r="E65" i="1"/>
  <c r="D65" i="1"/>
  <c r="G65" i="1" s="1"/>
  <c r="J64" i="1"/>
  <c r="I64" i="1"/>
  <c r="K64" i="1" s="1"/>
  <c r="F64" i="1"/>
  <c r="E64" i="1"/>
  <c r="D64" i="1"/>
  <c r="G64" i="1" s="1"/>
  <c r="J63" i="1"/>
  <c r="J61" i="1" s="1"/>
  <c r="I63" i="1"/>
  <c r="I61" i="1" s="1"/>
  <c r="G63" i="1"/>
  <c r="F63" i="1"/>
  <c r="E63" i="1"/>
  <c r="D63" i="1"/>
  <c r="J62" i="1"/>
  <c r="I62" i="1"/>
  <c r="K62" i="1" s="1"/>
  <c r="F62" i="1"/>
  <c r="E62" i="1"/>
  <c r="D62" i="1"/>
  <c r="D61" i="1" s="1"/>
  <c r="J60" i="1"/>
  <c r="I60" i="1"/>
  <c r="K60" i="1" s="1"/>
  <c r="F60" i="1"/>
  <c r="E60" i="1"/>
  <c r="D60" i="1"/>
  <c r="G60" i="1" s="1"/>
  <c r="K59" i="1"/>
  <c r="J59" i="1"/>
  <c r="I59" i="1"/>
  <c r="F59" i="1"/>
  <c r="E59" i="1"/>
  <c r="D59" i="1"/>
  <c r="J58" i="1"/>
  <c r="F58" i="1"/>
  <c r="E58" i="1"/>
  <c r="J57" i="1"/>
  <c r="I57" i="1"/>
  <c r="K57" i="1" s="1"/>
  <c r="F57" i="1"/>
  <c r="E57" i="1"/>
  <c r="D57" i="1"/>
  <c r="J56" i="1"/>
  <c r="I56" i="1"/>
  <c r="K56" i="1" s="1"/>
  <c r="G56" i="1"/>
  <c r="F56" i="1"/>
  <c r="E56" i="1"/>
  <c r="D56" i="1"/>
  <c r="J55" i="1"/>
  <c r="I55" i="1"/>
  <c r="K55" i="1" s="1"/>
  <c r="F55" i="1"/>
  <c r="G55" i="1" s="1"/>
  <c r="E55" i="1"/>
  <c r="D55" i="1"/>
  <c r="J54" i="1"/>
  <c r="K54" i="1" s="1"/>
  <c r="I54" i="1"/>
  <c r="F54" i="1"/>
  <c r="E54" i="1"/>
  <c r="D54" i="1"/>
  <c r="G54" i="1" s="1"/>
  <c r="J53" i="1"/>
  <c r="I53" i="1"/>
  <c r="K53" i="1" s="1"/>
  <c r="G53" i="1"/>
  <c r="F53" i="1"/>
  <c r="E53" i="1"/>
  <c r="D53" i="1"/>
  <c r="J52" i="1"/>
  <c r="I52" i="1"/>
  <c r="K52" i="1" s="1"/>
  <c r="F52" i="1"/>
  <c r="E52" i="1"/>
  <c r="D52" i="1"/>
  <c r="G52" i="1" s="1"/>
  <c r="J51" i="1"/>
  <c r="I51" i="1"/>
  <c r="K51" i="1" s="1"/>
  <c r="G51" i="1"/>
  <c r="F51" i="1"/>
  <c r="E51" i="1"/>
  <c r="D51" i="1"/>
  <c r="J50" i="1"/>
  <c r="I50" i="1"/>
  <c r="K50" i="1" s="1"/>
  <c r="F50" i="1"/>
  <c r="E50" i="1"/>
  <c r="D50" i="1"/>
  <c r="G50" i="1" s="1"/>
  <c r="J49" i="1"/>
  <c r="I49" i="1"/>
  <c r="K49" i="1" s="1"/>
  <c r="F49" i="1"/>
  <c r="E49" i="1"/>
  <c r="D49" i="1"/>
  <c r="G49" i="1" s="1"/>
  <c r="J48" i="1"/>
  <c r="I48" i="1"/>
  <c r="F48" i="1"/>
  <c r="E48" i="1"/>
  <c r="D48" i="1"/>
  <c r="G48" i="1" s="1"/>
  <c r="K47" i="1"/>
  <c r="J47" i="1"/>
  <c r="I47" i="1"/>
  <c r="F47" i="1"/>
  <c r="E47" i="1"/>
  <c r="D47" i="1"/>
  <c r="G47" i="1" s="1"/>
  <c r="J46" i="1"/>
  <c r="I46" i="1"/>
  <c r="K46" i="1" s="1"/>
  <c r="F46" i="1"/>
  <c r="E46" i="1"/>
  <c r="G46" i="1" s="1"/>
  <c r="D46" i="1"/>
  <c r="J45" i="1"/>
  <c r="I45" i="1"/>
  <c r="K45" i="1" s="1"/>
  <c r="F45" i="1"/>
  <c r="E45" i="1"/>
  <c r="D45" i="1"/>
  <c r="J44" i="1"/>
  <c r="I44" i="1"/>
  <c r="K44" i="1" s="1"/>
  <c r="G44" i="1"/>
  <c r="F44" i="1"/>
  <c r="E44" i="1"/>
  <c r="D44" i="1"/>
  <c r="J43" i="1"/>
  <c r="I43" i="1"/>
  <c r="K43" i="1" s="1"/>
  <c r="F43" i="1"/>
  <c r="E43" i="1"/>
  <c r="D43" i="1"/>
  <c r="G43" i="1" s="1"/>
  <c r="J42" i="1"/>
  <c r="K42" i="1" s="1"/>
  <c r="I42" i="1"/>
  <c r="F42" i="1"/>
  <c r="E42" i="1"/>
  <c r="D42" i="1"/>
  <c r="G42" i="1" s="1"/>
  <c r="J41" i="1"/>
  <c r="K41" i="1" s="1"/>
  <c r="I41" i="1"/>
  <c r="F41" i="1"/>
  <c r="E41" i="1"/>
  <c r="D41" i="1"/>
  <c r="G41" i="1" s="1"/>
  <c r="J40" i="1"/>
  <c r="I40" i="1"/>
  <c r="K40" i="1" s="1"/>
  <c r="F40" i="1"/>
  <c r="E40" i="1"/>
  <c r="D40" i="1"/>
  <c r="G40" i="1" s="1"/>
  <c r="J39" i="1"/>
  <c r="K39" i="1" s="1"/>
  <c r="I39" i="1"/>
  <c r="G39" i="1"/>
  <c r="F39" i="1"/>
  <c r="E39" i="1"/>
  <c r="D39" i="1"/>
  <c r="J38" i="1"/>
  <c r="I38" i="1"/>
  <c r="K38" i="1" s="1"/>
  <c r="F38" i="1"/>
  <c r="E38" i="1"/>
  <c r="D38" i="1"/>
  <c r="G38" i="1" s="1"/>
  <c r="K37" i="1"/>
  <c r="J37" i="1"/>
  <c r="I37" i="1"/>
  <c r="F37" i="1"/>
  <c r="E37" i="1"/>
  <c r="D37" i="1"/>
  <c r="G37" i="1" s="1"/>
  <c r="J36" i="1"/>
  <c r="I36" i="1"/>
  <c r="K36" i="1" s="1"/>
  <c r="F36" i="1"/>
  <c r="E36" i="1"/>
  <c r="D36" i="1"/>
  <c r="G36" i="1" s="1"/>
  <c r="K35" i="1"/>
  <c r="J35" i="1"/>
  <c r="I35" i="1"/>
  <c r="F35" i="1"/>
  <c r="E35" i="1"/>
  <c r="D35" i="1"/>
  <c r="G35" i="1" s="1"/>
  <c r="J34" i="1"/>
  <c r="I34" i="1"/>
  <c r="K34" i="1" s="1"/>
  <c r="F34" i="1"/>
  <c r="E34" i="1"/>
  <c r="G34" i="1" s="1"/>
  <c r="D34" i="1"/>
  <c r="J33" i="1"/>
  <c r="I33" i="1"/>
  <c r="K33" i="1" s="1"/>
  <c r="F33" i="1"/>
  <c r="E33" i="1"/>
  <c r="D33" i="1"/>
  <c r="J32" i="1"/>
  <c r="I32" i="1"/>
  <c r="K32" i="1" s="1"/>
  <c r="G32" i="1"/>
  <c r="F32" i="1"/>
  <c r="E32" i="1"/>
  <c r="D32" i="1"/>
  <c r="J31" i="1"/>
  <c r="I31" i="1"/>
  <c r="K31" i="1" s="1"/>
  <c r="F31" i="1"/>
  <c r="F27" i="1" s="1"/>
  <c r="E31" i="1"/>
  <c r="D31" i="1"/>
  <c r="G31" i="1" s="1"/>
  <c r="J30" i="1"/>
  <c r="J27" i="1" s="1"/>
  <c r="I30" i="1"/>
  <c r="F30" i="1"/>
  <c r="E30" i="1"/>
  <c r="D30" i="1"/>
  <c r="G30" i="1" s="1"/>
  <c r="K29" i="1"/>
  <c r="J29" i="1"/>
  <c r="I29" i="1"/>
  <c r="F29" i="1"/>
  <c r="E29" i="1"/>
  <c r="D29" i="1"/>
  <c r="G29" i="1" s="1"/>
  <c r="J28" i="1"/>
  <c r="I28" i="1"/>
  <c r="K28" i="1" s="1"/>
  <c r="F28" i="1"/>
  <c r="E28" i="1"/>
  <c r="D28" i="1"/>
  <c r="J26" i="1"/>
  <c r="I26" i="1"/>
  <c r="K26" i="1" s="1"/>
  <c r="F26" i="1"/>
  <c r="E26" i="1"/>
  <c r="D26" i="1"/>
  <c r="G26" i="1" s="1"/>
  <c r="K25" i="1"/>
  <c r="J25" i="1"/>
  <c r="I25" i="1"/>
  <c r="F25" i="1"/>
  <c r="E25" i="1"/>
  <c r="D25" i="1"/>
  <c r="G25" i="1" s="1"/>
  <c r="J24" i="1"/>
  <c r="I24" i="1"/>
  <c r="K24" i="1" s="1"/>
  <c r="F24" i="1"/>
  <c r="E24" i="1"/>
  <c r="D24" i="1"/>
  <c r="G24" i="1" s="1"/>
  <c r="K23" i="1"/>
  <c r="J23" i="1"/>
  <c r="I23" i="1"/>
  <c r="F23" i="1"/>
  <c r="E23" i="1"/>
  <c r="D23" i="1"/>
  <c r="G23" i="1" s="1"/>
  <c r="J22" i="1"/>
  <c r="I22" i="1"/>
  <c r="K22" i="1" s="1"/>
  <c r="F22" i="1"/>
  <c r="E22" i="1"/>
  <c r="G22" i="1" s="1"/>
  <c r="D22" i="1"/>
  <c r="J21" i="1"/>
  <c r="I21" i="1"/>
  <c r="K21" i="1" s="1"/>
  <c r="F21" i="1"/>
  <c r="E21" i="1"/>
  <c r="D21" i="1"/>
  <c r="J20" i="1"/>
  <c r="I20" i="1"/>
  <c r="K20" i="1" s="1"/>
  <c r="G20" i="1"/>
  <c r="F20" i="1"/>
  <c r="E20" i="1"/>
  <c r="D20" i="1"/>
  <c r="J19" i="1"/>
  <c r="I19" i="1"/>
  <c r="K19" i="1" s="1"/>
  <c r="F19" i="1"/>
  <c r="E19" i="1"/>
  <c r="D19" i="1"/>
  <c r="G19" i="1" s="1"/>
  <c r="J18" i="1"/>
  <c r="K18" i="1" s="1"/>
  <c r="I18" i="1"/>
  <c r="F18" i="1"/>
  <c r="E18" i="1"/>
  <c r="D18" i="1"/>
  <c r="G18" i="1" s="1"/>
  <c r="J17" i="1"/>
  <c r="K17" i="1" s="1"/>
  <c r="I17" i="1"/>
  <c r="F17" i="1"/>
  <c r="E17" i="1"/>
  <c r="D17" i="1"/>
  <c r="G17" i="1" s="1"/>
  <c r="J16" i="1"/>
  <c r="I16" i="1"/>
  <c r="K16" i="1" s="1"/>
  <c r="F16" i="1"/>
  <c r="E16" i="1"/>
  <c r="D16" i="1"/>
  <c r="G16" i="1" s="1"/>
  <c r="J15" i="1"/>
  <c r="K15" i="1" s="1"/>
  <c r="I15" i="1"/>
  <c r="G15" i="1"/>
  <c r="F15" i="1"/>
  <c r="E15" i="1"/>
  <c r="D15" i="1"/>
  <c r="J14" i="1"/>
  <c r="I14" i="1"/>
  <c r="K14" i="1" s="1"/>
  <c r="F14" i="1"/>
  <c r="E14" i="1"/>
  <c r="G14" i="1" s="1"/>
  <c r="D14" i="1"/>
  <c r="J13" i="1"/>
  <c r="I13" i="1"/>
  <c r="K13" i="1" s="1"/>
  <c r="F13" i="1"/>
  <c r="E13" i="1"/>
  <c r="D13" i="1"/>
  <c r="G13" i="1" s="1"/>
  <c r="J12" i="1"/>
  <c r="I12" i="1"/>
  <c r="K12" i="1" s="1"/>
  <c r="F12" i="1"/>
  <c r="E12" i="1"/>
  <c r="G12" i="1" s="1"/>
  <c r="D12" i="1"/>
  <c r="K11" i="1"/>
  <c r="J11" i="1"/>
  <c r="I11" i="1"/>
  <c r="F11" i="1"/>
  <c r="E11" i="1"/>
  <c r="D11" i="1"/>
  <c r="G11" i="1" s="1"/>
  <c r="J10" i="1"/>
  <c r="I10" i="1"/>
  <c r="K10" i="1" s="1"/>
  <c r="F10" i="1"/>
  <c r="G10" i="1" s="1"/>
  <c r="E10" i="1"/>
  <c r="D10" i="1"/>
  <c r="J9" i="1"/>
  <c r="I9" i="1"/>
  <c r="K9" i="1" s="1"/>
  <c r="F9" i="1"/>
  <c r="E9" i="1"/>
  <c r="D9" i="1"/>
  <c r="G9" i="1" s="1"/>
  <c r="J8" i="1"/>
  <c r="I8" i="1"/>
  <c r="K8" i="1" s="1"/>
  <c r="G8" i="1"/>
  <c r="F8" i="1"/>
  <c r="E8" i="1"/>
  <c r="D8" i="1"/>
  <c r="J7" i="1"/>
  <c r="I7" i="1"/>
  <c r="K7" i="1" s="1"/>
  <c r="F7" i="1"/>
  <c r="E7" i="1"/>
  <c r="D7" i="1"/>
  <c r="G7" i="1" s="1"/>
  <c r="J6" i="1"/>
  <c r="K6" i="1" s="1"/>
  <c r="I6" i="1"/>
  <c r="F6" i="1"/>
  <c r="E6" i="1"/>
  <c r="D6" i="1"/>
  <c r="G6" i="1" s="1"/>
  <c r="J5" i="1"/>
  <c r="I5" i="1"/>
  <c r="K5" i="1" s="1"/>
  <c r="F5" i="1"/>
  <c r="E5" i="1"/>
  <c r="D5" i="1"/>
  <c r="D2" i="1" s="1"/>
  <c r="K4" i="1"/>
  <c r="J4" i="1"/>
  <c r="I4" i="1"/>
  <c r="F4" i="1"/>
  <c r="E4" i="1"/>
  <c r="E2" i="1" s="1"/>
  <c r="D4" i="1"/>
  <c r="J3" i="1"/>
  <c r="I3" i="1"/>
  <c r="F3" i="1"/>
  <c r="G3" i="1" s="1"/>
  <c r="E3" i="1"/>
  <c r="D3" i="1"/>
  <c r="G141" i="1" l="1"/>
  <c r="K61" i="1"/>
  <c r="G129" i="1"/>
  <c r="D27" i="1"/>
  <c r="G28" i="1"/>
  <c r="G27" i="1" s="1"/>
  <c r="K130" i="1"/>
  <c r="E61" i="1"/>
  <c r="G120" i="1"/>
  <c r="G117" i="1" s="1"/>
  <c r="K126" i="1"/>
  <c r="I2" i="1"/>
  <c r="G5" i="1"/>
  <c r="J2" i="1"/>
  <c r="G21" i="1"/>
  <c r="G33" i="1"/>
  <c r="K48" i="1"/>
  <c r="I58" i="1"/>
  <c r="K58" i="1" s="1"/>
  <c r="K72" i="1"/>
  <c r="I82" i="1"/>
  <c r="K82" i="1" s="1"/>
  <c r="F96" i="1"/>
  <c r="F112" i="1"/>
  <c r="D117" i="1"/>
  <c r="F133" i="1"/>
  <c r="I153" i="1"/>
  <c r="K153" i="1" s="1"/>
  <c r="D161" i="1"/>
  <c r="I168" i="1"/>
  <c r="K168" i="1" s="1"/>
  <c r="F2" i="1"/>
  <c r="I102" i="1"/>
  <c r="K102" i="1" s="1"/>
  <c r="K103" i="1"/>
  <c r="E27" i="1"/>
  <c r="K109" i="1"/>
  <c r="K171" i="1"/>
  <c r="K176" i="1"/>
  <c r="G147" i="1"/>
  <c r="G149" i="1"/>
  <c r="F61" i="1"/>
  <c r="K128" i="1"/>
  <c r="K118" i="1"/>
  <c r="G175" i="1"/>
  <c r="G174" i="1" s="1"/>
  <c r="F82" i="1"/>
  <c r="I106" i="1"/>
  <c r="K106" i="1" s="1"/>
  <c r="K3" i="1"/>
  <c r="D106" i="1"/>
  <c r="D181" i="1" s="1"/>
  <c r="F187" i="1" s="1"/>
  <c r="F190" i="1" s="1"/>
  <c r="G107" i="1"/>
  <c r="G106" i="1" s="1"/>
  <c r="G134" i="1"/>
  <c r="G133" i="1" s="1"/>
  <c r="I141" i="1"/>
  <c r="E161" i="1"/>
  <c r="G4" i="1"/>
  <c r="G2" i="1" s="1"/>
  <c r="C187" i="1" s="1"/>
  <c r="I27" i="1"/>
  <c r="K27" i="1" s="1"/>
  <c r="G45" i="1"/>
  <c r="G69" i="1"/>
  <c r="I96" i="1"/>
  <c r="K96" i="1" s="1"/>
  <c r="E102" i="1"/>
  <c r="G105" i="1"/>
  <c r="I112" i="1"/>
  <c r="K112" i="1" s="1"/>
  <c r="F117" i="1"/>
  <c r="E121" i="1"/>
  <c r="G124" i="1"/>
  <c r="J141" i="1"/>
  <c r="K144" i="1"/>
  <c r="K154" i="1"/>
  <c r="G165" i="1"/>
  <c r="G161" i="1" s="1"/>
  <c r="K63" i="1"/>
  <c r="K159" i="1"/>
  <c r="G139" i="1"/>
  <c r="G137" i="1" s="1"/>
  <c r="G180" i="1"/>
  <c r="G179" i="1" s="1"/>
  <c r="G62" i="1"/>
  <c r="G61" i="1" s="1"/>
  <c r="K30" i="1"/>
  <c r="G98" i="1"/>
  <c r="G96" i="1" s="1"/>
  <c r="D58" i="1"/>
  <c r="G59" i="1"/>
  <c r="G58" i="1" s="1"/>
  <c r="D82" i="1"/>
  <c r="G83" i="1"/>
  <c r="G82" i="1" s="1"/>
  <c r="C188" i="1" s="1"/>
  <c r="J112" i="1"/>
  <c r="J181" i="1" s="1"/>
  <c r="F121" i="1"/>
  <c r="F181" i="1" s="1"/>
  <c r="F189" i="1" s="1"/>
  <c r="K142" i="1"/>
  <c r="K173" i="1"/>
  <c r="K178" i="1"/>
  <c r="E181" i="1"/>
  <c r="F188" i="1" s="1"/>
  <c r="D129" i="1"/>
  <c r="G158" i="1"/>
  <c r="G157" i="1" s="1"/>
  <c r="K180" i="1"/>
  <c r="I179" i="1"/>
  <c r="G57" i="1"/>
  <c r="G81" i="1"/>
  <c r="G93" i="1"/>
  <c r="G91" i="1" s="1"/>
  <c r="G103" i="1"/>
  <c r="K113" i="1"/>
  <c r="G122" i="1"/>
  <c r="G121" i="1" s="1"/>
  <c r="I129" i="1"/>
  <c r="K129" i="1" s="1"/>
  <c r="I161" i="1"/>
  <c r="K161" i="1" s="1"/>
  <c r="K170" i="1"/>
  <c r="K175" i="1"/>
  <c r="C190" i="1" l="1"/>
  <c r="K179" i="1"/>
  <c r="I181" i="1"/>
  <c r="G102" i="1"/>
  <c r="G181" i="1" s="1"/>
  <c r="K141" i="1"/>
  <c r="K2" i="1"/>
  <c r="C189" i="1" l="1"/>
  <c r="C191" i="1" s="1"/>
  <c r="K181" i="1"/>
</calcChain>
</file>

<file path=xl/sharedStrings.xml><?xml version="1.0" encoding="utf-8"?>
<sst xmlns="http://schemas.openxmlformats.org/spreadsheetml/2006/main" count="355" uniqueCount="169">
  <si>
    <t>NO</t>
  </si>
  <si>
    <t>PENDIDIKAN</t>
  </si>
  <si>
    <t>TINGKAT PENDIDIKAN</t>
  </si>
  <si>
    <t>PNS/CPNS</t>
  </si>
  <si>
    <t>APBD</t>
  </si>
  <si>
    <t>BLUD</t>
  </si>
  <si>
    <t>TOTAL</t>
  </si>
  <si>
    <t>PEREMPUAN</t>
  </si>
  <si>
    <t>LAKI - LAKI</t>
  </si>
  <si>
    <t>KONSULTAN</t>
  </si>
  <si>
    <t>Sub Spesialis Anak-Hematologi Onkologi</t>
  </si>
  <si>
    <t>Konsultan</t>
  </si>
  <si>
    <t>Sub Spesialis Anak-Nefrologi</t>
  </si>
  <si>
    <t>Sub Spesialis Anak-Neurologi</t>
  </si>
  <si>
    <t>Sub Spesialis Anak-Tumbuh Kembang Ped. Sosial</t>
  </si>
  <si>
    <t>Sub Spesialis Anestesi-Intensif Care/Icu</t>
  </si>
  <si>
    <t>Sub Spesialis Bedah - Digestif</t>
  </si>
  <si>
    <t>Sub Spesialis Bedah - Kepala Dan Leher</t>
  </si>
  <si>
    <t>Sub Spesialis Bedah - Onkologi</t>
  </si>
  <si>
    <t>Sub Spesialis Bedah - Saraf Onkologi</t>
  </si>
  <si>
    <t>Sub Spesialis Bedah - Saraf Vaskular</t>
  </si>
  <si>
    <t>Sub Spesialis Bedah - Vaskuler Dan Endovaskuler</t>
  </si>
  <si>
    <t>Sub Spesialis Jantung Dan Pembuluh Darah-Kardiologi Intervensi</t>
  </si>
  <si>
    <t>Sub Spesialis Neurologi- Neuro-Onkologi</t>
  </si>
  <si>
    <t>Sub Spesialis Neurologi- Neurovaskular, Neurointervensi, Imaging, Otologi, Oftalmologi</t>
  </si>
  <si>
    <t>Sub Spesialis Obgyn- Fetomaternal (KFM)</t>
  </si>
  <si>
    <t>Sub Spesialis Obgyn- Onkologi Ginekologi Konk</t>
  </si>
  <si>
    <t>Sub Spesialis Penyakit Dalam-Endokrin Metabolik dan Diabetes</t>
  </si>
  <si>
    <t>Sub Spesialis Penyakit Dalam-Gastroenterohepatologi</t>
  </si>
  <si>
    <t>Sub Spesialis Penyakit Dalam-Ginjal Hipertensi</t>
  </si>
  <si>
    <t>Sub Spesialis Penyakit Dalam-Hematologi-Onkologi Medik</t>
  </si>
  <si>
    <t>Sub Spesialis Penyakit Dalam-Kardiovaskular</t>
  </si>
  <si>
    <t>Sub Spesialis Radiologi-Neuroradiologi Dan Kepala Leher</t>
  </si>
  <si>
    <t>Sub Spesialis Radiologi-Radiologi Intervensional</t>
  </si>
  <si>
    <t>Sub Spesialis Telinga Hidung Tenggorok - Rhinologi</t>
  </si>
  <si>
    <t>SPESIALIS</t>
  </si>
  <si>
    <t>Spesialis Anak</t>
  </si>
  <si>
    <t>S2</t>
  </si>
  <si>
    <t>Spesialis Anastesiologi Dan Terapi Intensif</t>
  </si>
  <si>
    <t>Spesialis Bedah</t>
  </si>
  <si>
    <t>Spesialis Bedah Mulut Dan Maksilofasial</t>
  </si>
  <si>
    <t>Spesialis Bedah Plastik Rekonstruksi Dan Estetis</t>
  </si>
  <si>
    <t>Spesialis Bedah Saraf</t>
  </si>
  <si>
    <t>Spesialis Bedah Toraks Kardiovaskular</t>
  </si>
  <si>
    <t>Spesialis Bedah Urologi</t>
  </si>
  <si>
    <t>Spesialis Dermatologi Dan Venereologi</t>
  </si>
  <si>
    <t>Spesialis Farmakologi Klinik</t>
  </si>
  <si>
    <t>Spesialis Gizi Klinik</t>
  </si>
  <si>
    <t>Spesialis Jantung Dan Pembuluh Darah</t>
  </si>
  <si>
    <t>Spesialis Kedokteran Fisik Dan Rehabilitasi</t>
  </si>
  <si>
    <t>Spesialis Kedokteran Forensik &amp; Medikolegal</t>
  </si>
  <si>
    <t>Spesialis Kedokteran Jiwa Atau Psikiatri</t>
  </si>
  <si>
    <t>Spesialis Kedokteran Nuklir</t>
  </si>
  <si>
    <t>Spesialis Konservasi Gigi</t>
  </si>
  <si>
    <t>Spesialis Mata</t>
  </si>
  <si>
    <t>Spesialis Mikrobiologi Klinik</t>
  </si>
  <si>
    <t>Spesialis Neurologi</t>
  </si>
  <si>
    <t>Spesialis Obstetri Dan Ginekologi</t>
  </si>
  <si>
    <t>Spesialis Orthopaedi Dan Traumatologi</t>
  </si>
  <si>
    <t>Spesialis Ortodonsia</t>
  </si>
  <si>
    <t>Spesialis Patologi Anatomi</t>
  </si>
  <si>
    <t>Spesialis Patologi Klinik</t>
  </si>
  <si>
    <t>Spesialis Penyakit Dalam</t>
  </si>
  <si>
    <t>Spesialis Prostodonsia</t>
  </si>
  <si>
    <t>Spesialis Pulmonologi Dan Kedokteran Respirasi Paru</t>
  </si>
  <si>
    <t>Spesialis Radiologi</t>
  </si>
  <si>
    <t>Spesialis Telinga Hidung Tenggorok</t>
  </si>
  <si>
    <t>KEDOKTERAN UMUM</t>
  </si>
  <si>
    <t>Kedokteran Gigi umum</t>
  </si>
  <si>
    <t>S1</t>
  </si>
  <si>
    <t>Kedokteran Umum</t>
  </si>
  <si>
    <t>KESEHATAN MASYARAKAT</t>
  </si>
  <si>
    <t>Kesehatan Masyarakat - Administrasi dan Kebijakan Kesehatan</t>
  </si>
  <si>
    <t>Kesehatan Masyarakat - Administrasi Perkantoran dan Sekretaris</t>
  </si>
  <si>
    <t>Kesehatan Masyarakat - Entomologi</t>
  </si>
  <si>
    <t>Kesehatan Masyarakat - Epidemiologi</t>
  </si>
  <si>
    <t>Kesehatan Masyarakat - Kesehatan Lingkungan</t>
  </si>
  <si>
    <t>Kesehatan Masyarakat - Kesehatan Masyarakat</t>
  </si>
  <si>
    <t>Kesehatan Masyarakat - Ilmu Kesehatan Masyarakat</t>
  </si>
  <si>
    <t>Kesehatan Masyarakat - Kesehatan Reproduksi</t>
  </si>
  <si>
    <t>Kesehatan Masyarakat - Promosi Kesehatan</t>
  </si>
  <si>
    <t>Kesehatan Masyarakat - Manajemen Rumah Sakit</t>
  </si>
  <si>
    <t>KEPERAWATAN</t>
  </si>
  <si>
    <t>Perawat - Ners</t>
  </si>
  <si>
    <t>Profesi</t>
  </si>
  <si>
    <t>Perawat</t>
  </si>
  <si>
    <t>DIV</t>
  </si>
  <si>
    <t>Perawat - Pendidik</t>
  </si>
  <si>
    <t>Perawat - Anastesi</t>
  </si>
  <si>
    <t>DIII</t>
  </si>
  <si>
    <t>Perawat - Perawat Gigi dan Mulut</t>
  </si>
  <si>
    <t>SPK</t>
  </si>
  <si>
    <t>SMA</t>
  </si>
  <si>
    <t>KEBIDANAN</t>
  </si>
  <si>
    <t>Bidan</t>
  </si>
  <si>
    <t>Bidan - Pendidik</t>
  </si>
  <si>
    <t>FARMASI</t>
  </si>
  <si>
    <t>Farmasi - Apoteker</t>
  </si>
  <si>
    <t>Farmasi</t>
  </si>
  <si>
    <t>Farmasi - Analis Farmasi</t>
  </si>
  <si>
    <t>Farmasi - Analis Farmasi dan Makanan</t>
  </si>
  <si>
    <t>GIZI</t>
  </si>
  <si>
    <t>Nutrisionis</t>
  </si>
  <si>
    <t>ANALIS KESEHATAN</t>
  </si>
  <si>
    <t>Biologi</t>
  </si>
  <si>
    <t>Analis Kesehatan</t>
  </si>
  <si>
    <t>SMAK</t>
  </si>
  <si>
    <t>FISIOTERAPI</t>
  </si>
  <si>
    <t>Fisioterapi</t>
  </si>
  <si>
    <t>Fisioterapi - Terapi Wicara</t>
  </si>
  <si>
    <t>ELEKTROMEDIS</t>
  </si>
  <si>
    <t>Elektro Medis</t>
  </si>
  <si>
    <t>RADIOLOGI</t>
  </si>
  <si>
    <t>Radiologi</t>
  </si>
  <si>
    <t>REPRAKSI OPTIZIEN</t>
  </si>
  <si>
    <t>Repraktisi Optizien</t>
  </si>
  <si>
    <t>REKAM MEDIK</t>
  </si>
  <si>
    <t>Rekam Medik</t>
  </si>
  <si>
    <t>HUKUM</t>
  </si>
  <si>
    <t>Hukum - Pidana</t>
  </si>
  <si>
    <t>Hukum</t>
  </si>
  <si>
    <t>Hukum - Islam</t>
  </si>
  <si>
    <t>TEKNIK</t>
  </si>
  <si>
    <t>Teknik</t>
  </si>
  <si>
    <t>Teknik - Telekomunikasi</t>
  </si>
  <si>
    <t>Teknik- Teknik Elektronika</t>
  </si>
  <si>
    <t>KOMPUTER</t>
  </si>
  <si>
    <t>Komputer - Ilmu Komunikasi</t>
  </si>
  <si>
    <t>Komputer - Sistem Informasi</t>
  </si>
  <si>
    <t>Komputer - Teknik Informatika</t>
  </si>
  <si>
    <t>Komputer - Komputerisasi Akutansi</t>
  </si>
  <si>
    <t>D3</t>
  </si>
  <si>
    <t>Komputer - Manajemen Informatika dan Komputer</t>
  </si>
  <si>
    <t>Komputer - Teknik Komputer</t>
  </si>
  <si>
    <t>Komputer - Teknik Komputer dan Informatika</t>
  </si>
  <si>
    <t>D1</t>
  </si>
  <si>
    <t>FISIKA MEDIS</t>
  </si>
  <si>
    <t>Fisika Medis</t>
  </si>
  <si>
    <t xml:space="preserve">PSIKOLOGI </t>
  </si>
  <si>
    <t>Psikologi</t>
  </si>
  <si>
    <t>Psikologi - Psikologi Klinis</t>
  </si>
  <si>
    <t>AKUTANSI</t>
  </si>
  <si>
    <t>Akutansi</t>
  </si>
  <si>
    <t>Akutansi - Akutansi Keuangan Publik</t>
  </si>
  <si>
    <t>D4</t>
  </si>
  <si>
    <t>Akutansi - Akutansi Perbankan dan Keuangan</t>
  </si>
  <si>
    <t>EKONOMI</t>
  </si>
  <si>
    <t>Ekonomi - Manajemen</t>
  </si>
  <si>
    <t>Ekonomi - Manajemen Sumber Daya Manusia</t>
  </si>
  <si>
    <t>Ekonomi - Pendidikan Ekonomi</t>
  </si>
  <si>
    <t>Ekonomi - Manajemen Bisnis Syariah</t>
  </si>
  <si>
    <t>Ekonomi - Manajemen Pemasaran</t>
  </si>
  <si>
    <t>ADMINISTRASI PUBLIK</t>
  </si>
  <si>
    <t>Administrasi Publik</t>
  </si>
  <si>
    <t>SASTRA INGGRIS</t>
  </si>
  <si>
    <t>Sastra Inggris</t>
  </si>
  <si>
    <t>ADMINISTRASI PERKANTORAN</t>
  </si>
  <si>
    <t>Administrasi Perkantoran</t>
  </si>
  <si>
    <t>SMK</t>
  </si>
  <si>
    <t>SMP</t>
  </si>
  <si>
    <t>SD</t>
  </si>
  <si>
    <t>KATEGORI</t>
  </si>
  <si>
    <t>JUMLAH</t>
  </si>
  <si>
    <t>STATUS</t>
  </si>
  <si>
    <t>Tenaga Medis</t>
  </si>
  <si>
    <t>ASN</t>
  </si>
  <si>
    <t>Tenaga Kesehatan</t>
  </si>
  <si>
    <t>Tenaga Penunjang Medis</t>
  </si>
  <si>
    <t>Umum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</si>
</sst>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4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4285F4"/>
        <bgColor rgb="FF4285F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3" xfId="0" applyFont="1" applyBorder="1"/>
    <xf numFmtId="0" fontId="3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1" fillId="0" borderId="4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3" fillId="5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ren_yzlvlwi\Downloads\DATABASE%20SDM%202025.xlsx" TargetMode="External"/><Relationship Id="rId1" Type="http://schemas.openxmlformats.org/officeDocument/2006/relationships/externalLinkPath" Target="/Users/peren_yzlvlwi/Downloads/DATABASE%20SDM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BASE"/>
      <sheetName val="KETENAGAAN"/>
      <sheetName val="Copy of KETENAGAAN"/>
      <sheetName val="RENBUT"/>
      <sheetName val="KUOTA"/>
      <sheetName val="MASUK"/>
      <sheetName val="KELUAR"/>
      <sheetName val="STR"/>
      <sheetName val="CUTI PEGAWAI"/>
      <sheetName val="Gj. BERKALA"/>
      <sheetName val="TIM"/>
    </sheetNames>
    <sheetDataSet>
      <sheetData sheetId="0">
        <row r="1">
          <cell r="G1" t="str">
            <v>STATUS</v>
          </cell>
          <cell r="N1" t="str">
            <v>JENIS KELAMIN</v>
          </cell>
          <cell r="AE1" t="str">
            <v>JENJANG</v>
          </cell>
          <cell r="AG1" t="str">
            <v>JURUSAN</v>
          </cell>
          <cell r="AW1" t="str">
            <v>KET</v>
          </cell>
        </row>
        <row r="2">
          <cell r="G2" t="str">
            <v>AKTIF</v>
          </cell>
          <cell r="N2" t="str">
            <v>Laki-Laki</v>
          </cell>
          <cell r="AE2" t="str">
            <v>S1 + Profesi</v>
          </cell>
          <cell r="AG2" t="str">
            <v>NERS</v>
          </cell>
          <cell r="AW2" t="str">
            <v>BLUD</v>
          </cell>
        </row>
        <row r="3">
          <cell r="G3" t="str">
            <v>AKTIF</v>
          </cell>
          <cell r="N3" t="str">
            <v>Laki-Laki</v>
          </cell>
          <cell r="AE3" t="str">
            <v>SMA</v>
          </cell>
          <cell r="AG3" t="str">
            <v>SMA</v>
          </cell>
          <cell r="AW3" t="str">
            <v>PNS</v>
          </cell>
        </row>
        <row r="4">
          <cell r="G4" t="str">
            <v>AKTIF</v>
          </cell>
          <cell r="N4" t="str">
            <v>Laki-Laki</v>
          </cell>
          <cell r="AE4" t="str">
            <v>S1</v>
          </cell>
          <cell r="AG4" t="str">
            <v>TEKNIK TELEKOMUNIKASI</v>
          </cell>
          <cell r="AW4" t="str">
            <v>PNS</v>
          </cell>
        </row>
        <row r="5">
          <cell r="G5" t="str">
            <v>AKTIF</v>
          </cell>
          <cell r="N5" t="str">
            <v>Perempuan</v>
          </cell>
          <cell r="AE5" t="str">
            <v>S1 + Profesi</v>
          </cell>
          <cell r="AG5" t="str">
            <v>NERS</v>
          </cell>
          <cell r="AW5" t="str">
            <v>APBD</v>
          </cell>
        </row>
        <row r="6">
          <cell r="G6" t="str">
            <v>AKTIF</v>
          </cell>
          <cell r="N6" t="str">
            <v>Laki-Laki</v>
          </cell>
          <cell r="AE6" t="str">
            <v>SMA</v>
          </cell>
          <cell r="AG6" t="str">
            <v>SMK</v>
          </cell>
          <cell r="AW6" t="str">
            <v>BLUD</v>
          </cell>
        </row>
        <row r="7">
          <cell r="G7" t="str">
            <v>AKTIF</v>
          </cell>
          <cell r="N7" t="str">
            <v>Laki-Laki</v>
          </cell>
          <cell r="AE7" t="str">
            <v>D4</v>
          </cell>
          <cell r="AG7" t="str">
            <v>KEPERAWATAN ANASTESI</v>
          </cell>
          <cell r="AW7" t="str">
            <v>APBD</v>
          </cell>
        </row>
        <row r="8">
          <cell r="G8" t="str">
            <v>AKTIF</v>
          </cell>
          <cell r="N8" t="str">
            <v>Perempuan</v>
          </cell>
          <cell r="AE8" t="str">
            <v>D3</v>
          </cell>
          <cell r="AG8" t="str">
            <v>KEBIDANAN</v>
          </cell>
          <cell r="AW8" t="str">
            <v>APBD</v>
          </cell>
        </row>
        <row r="9">
          <cell r="G9" t="str">
            <v>AKTIF</v>
          </cell>
          <cell r="N9" t="str">
            <v>Perempuan</v>
          </cell>
          <cell r="AE9" t="str">
            <v>D3</v>
          </cell>
          <cell r="AG9" t="str">
            <v>KEBIDANAN</v>
          </cell>
          <cell r="AW9" t="str">
            <v>APBD</v>
          </cell>
        </row>
        <row r="10">
          <cell r="G10" t="str">
            <v>AKTIF</v>
          </cell>
          <cell r="N10" t="str">
            <v>Perempuan</v>
          </cell>
          <cell r="AE10" t="str">
            <v>D3</v>
          </cell>
          <cell r="AG10" t="str">
            <v>KEBIDANAN</v>
          </cell>
          <cell r="AW10" t="str">
            <v>APBD</v>
          </cell>
        </row>
        <row r="11">
          <cell r="G11" t="str">
            <v>AKTIF</v>
          </cell>
          <cell r="N11" t="str">
            <v>Perempuan</v>
          </cell>
          <cell r="AE11" t="str">
            <v>S1</v>
          </cell>
          <cell r="AG11" t="str">
            <v>TEKNIK ELEKTRONIKA</v>
          </cell>
          <cell r="AW11" t="str">
            <v>PNS</v>
          </cell>
        </row>
        <row r="12">
          <cell r="G12" t="str">
            <v>AKTIF</v>
          </cell>
          <cell r="N12" t="str">
            <v>Laki-Laki</v>
          </cell>
          <cell r="AE12" t="str">
            <v>S1</v>
          </cell>
          <cell r="AG12" t="str">
            <v>TEKNIK INFORMATIKA</v>
          </cell>
          <cell r="AW12" t="str">
            <v>BLUD</v>
          </cell>
        </row>
        <row r="13">
          <cell r="G13" t="str">
            <v>AKTIF</v>
          </cell>
          <cell r="N13" t="str">
            <v>Perempuan</v>
          </cell>
          <cell r="AE13" t="str">
            <v>D3</v>
          </cell>
          <cell r="AG13" t="str">
            <v>KEPERAWATAN</v>
          </cell>
          <cell r="AW13" t="str">
            <v>PNS</v>
          </cell>
        </row>
        <row r="14">
          <cell r="G14" t="str">
            <v>AKTIF</v>
          </cell>
          <cell r="N14" t="str">
            <v>Laki-Laki</v>
          </cell>
          <cell r="AE14" t="str">
            <v>SMA</v>
          </cell>
          <cell r="AG14" t="str">
            <v>SMA</v>
          </cell>
          <cell r="AW14" t="str">
            <v>BLUD</v>
          </cell>
        </row>
        <row r="15">
          <cell r="G15" t="str">
            <v>AKTIF</v>
          </cell>
          <cell r="N15" t="str">
            <v>Perempuan</v>
          </cell>
          <cell r="AE15" t="str">
            <v>D3</v>
          </cell>
          <cell r="AG15" t="str">
            <v>TEKNIK RADIODIAGNOSTIK DAN RADIOTERAPI</v>
          </cell>
          <cell r="AW15" t="str">
            <v>APBD</v>
          </cell>
        </row>
        <row r="16">
          <cell r="G16" t="str">
            <v>AKTIF</v>
          </cell>
          <cell r="N16" t="str">
            <v>Laki-Laki</v>
          </cell>
          <cell r="AE16" t="str">
            <v>S1</v>
          </cell>
          <cell r="AG16" t="str">
            <v>TEKNIK</v>
          </cell>
          <cell r="AW16" t="str">
            <v>APBD</v>
          </cell>
        </row>
        <row r="17">
          <cell r="G17" t="str">
            <v>AKTIF</v>
          </cell>
          <cell r="N17" t="str">
            <v>Perempuan</v>
          </cell>
          <cell r="AE17" t="str">
            <v>S1</v>
          </cell>
          <cell r="AG17" t="str">
            <v>SAINS</v>
          </cell>
          <cell r="AW17" t="str">
            <v>PNS</v>
          </cell>
        </row>
        <row r="18">
          <cell r="G18" t="str">
            <v>AKTIF</v>
          </cell>
          <cell r="N18" t="str">
            <v>Laki-Laki</v>
          </cell>
          <cell r="AE18" t="str">
            <v>SMA</v>
          </cell>
          <cell r="AG18" t="str">
            <v>SMK</v>
          </cell>
          <cell r="AW18" t="str">
            <v>BLUD</v>
          </cell>
        </row>
        <row r="19">
          <cell r="G19" t="str">
            <v>AKTIF</v>
          </cell>
          <cell r="N19" t="str">
            <v>Laki-Laki</v>
          </cell>
          <cell r="AE19" t="str">
            <v>D1</v>
          </cell>
          <cell r="AG19" t="str">
            <v>MANAJEMEN INFORMATIKA DAN KOMPUTER</v>
          </cell>
          <cell r="AW19" t="str">
            <v>BLUD</v>
          </cell>
        </row>
        <row r="20">
          <cell r="G20" t="str">
            <v>AKTIF</v>
          </cell>
          <cell r="N20" t="str">
            <v>Laki-Laki</v>
          </cell>
          <cell r="AE20" t="str">
            <v>D4</v>
          </cell>
          <cell r="AG20" t="str">
            <v>KEPERAWATAN</v>
          </cell>
          <cell r="AW20" t="str">
            <v>BLUD</v>
          </cell>
        </row>
        <row r="21">
          <cell r="G21" t="str">
            <v>MENINGGAL</v>
          </cell>
          <cell r="N21" t="str">
            <v>Laki-Laki</v>
          </cell>
          <cell r="AE21" t="str">
            <v>D3</v>
          </cell>
          <cell r="AG21" t="str">
            <v>KEPERAWATAN</v>
          </cell>
        </row>
        <row r="22">
          <cell r="G22" t="str">
            <v>AKTIF</v>
          </cell>
          <cell r="N22" t="str">
            <v>Laki-Laki</v>
          </cell>
          <cell r="AE22" t="str">
            <v>SMA</v>
          </cell>
          <cell r="AG22" t="str">
            <v>SMK</v>
          </cell>
          <cell r="AW22" t="str">
            <v>BLUD</v>
          </cell>
        </row>
        <row r="23">
          <cell r="G23" t="str">
            <v>AKTIF</v>
          </cell>
          <cell r="N23" t="str">
            <v>Perempuan</v>
          </cell>
          <cell r="AE23" t="str">
            <v>S1</v>
          </cell>
          <cell r="AG23" t="str">
            <v>SASTRA INGGRIS</v>
          </cell>
          <cell r="AW23" t="str">
            <v>APBD</v>
          </cell>
        </row>
        <row r="24">
          <cell r="G24" t="str">
            <v>AKTIF</v>
          </cell>
          <cell r="N24" t="str">
            <v>Laki-Laki</v>
          </cell>
          <cell r="AE24" t="str">
            <v>D3</v>
          </cell>
          <cell r="AG24" t="str">
            <v>REKAM MEDIS DAN INFORMASI KESEHATAN</v>
          </cell>
          <cell r="AW24" t="str">
            <v>BLUD</v>
          </cell>
        </row>
        <row r="25">
          <cell r="G25" t="str">
            <v>AKTIF</v>
          </cell>
          <cell r="N25" t="str">
            <v>Laki-Laki</v>
          </cell>
          <cell r="AE25" t="str">
            <v>S1 + Profesi</v>
          </cell>
          <cell r="AG25" t="str">
            <v>NERS</v>
          </cell>
          <cell r="AW25" t="str">
            <v>BLUD</v>
          </cell>
        </row>
        <row r="26">
          <cell r="G26" t="str">
            <v>AKTIF</v>
          </cell>
          <cell r="N26" t="str">
            <v>Laki-Laki</v>
          </cell>
          <cell r="AE26" t="str">
            <v>S1</v>
          </cell>
          <cell r="AG26" t="str">
            <v>MANAJEMEN PEMASARAN</v>
          </cell>
          <cell r="AW26" t="str">
            <v>BLUD</v>
          </cell>
        </row>
        <row r="27">
          <cell r="G27" t="str">
            <v>RESIGN</v>
          </cell>
          <cell r="N27" t="str">
            <v>Laki-Laki</v>
          </cell>
          <cell r="AE27" t="str">
            <v>S1</v>
          </cell>
          <cell r="AG27" t="str">
            <v>TEKNIK INFORMATIKA</v>
          </cell>
        </row>
        <row r="28">
          <cell r="G28" t="str">
            <v>AKTIF</v>
          </cell>
          <cell r="N28" t="str">
            <v>Perempuan</v>
          </cell>
          <cell r="AE28" t="str">
            <v>D3</v>
          </cell>
          <cell r="AG28" t="str">
            <v>ANALIS KESEHATAN</v>
          </cell>
          <cell r="AW28" t="str">
            <v>APBD</v>
          </cell>
        </row>
        <row r="29">
          <cell r="G29" t="str">
            <v>AKTIF</v>
          </cell>
          <cell r="N29" t="str">
            <v>Laki-Laki</v>
          </cell>
          <cell r="AE29" t="str">
            <v>D3</v>
          </cell>
          <cell r="AG29" t="str">
            <v>KEPERAWATAN</v>
          </cell>
          <cell r="AW29" t="str">
            <v>APBD</v>
          </cell>
        </row>
        <row r="30">
          <cell r="G30" t="str">
            <v>AKTIF</v>
          </cell>
          <cell r="N30" t="str">
            <v>Laki-Laki</v>
          </cell>
          <cell r="AE30" t="str">
            <v>S1</v>
          </cell>
          <cell r="AG30" t="str">
            <v>TEKNIK INFORMATIKA</v>
          </cell>
          <cell r="AW30" t="str">
            <v>BLUD</v>
          </cell>
        </row>
        <row r="31">
          <cell r="G31" t="str">
            <v>AKTIF</v>
          </cell>
          <cell r="N31" t="str">
            <v>Laki-Laki</v>
          </cell>
          <cell r="AE31" t="str">
            <v>D3</v>
          </cell>
          <cell r="AG31" t="str">
            <v>KEPERAWATAN</v>
          </cell>
          <cell r="AW31" t="str">
            <v>BLUD</v>
          </cell>
        </row>
        <row r="32">
          <cell r="G32" t="str">
            <v>AKTIF</v>
          </cell>
          <cell r="N32" t="str">
            <v>Laki-Laki</v>
          </cell>
          <cell r="AE32" t="str">
            <v>S1 + Profesi</v>
          </cell>
          <cell r="AG32" t="str">
            <v>NERS</v>
          </cell>
          <cell r="AW32" t="str">
            <v>APBD</v>
          </cell>
        </row>
        <row r="33">
          <cell r="G33" t="str">
            <v>AKTIF</v>
          </cell>
          <cell r="N33" t="str">
            <v>Perempuan</v>
          </cell>
          <cell r="AE33" t="str">
            <v>D3</v>
          </cell>
          <cell r="AG33" t="str">
            <v>KEBIDANAN</v>
          </cell>
          <cell r="AW33" t="str">
            <v>APBD</v>
          </cell>
        </row>
        <row r="34">
          <cell r="G34" t="str">
            <v>AKTIF</v>
          </cell>
          <cell r="N34" t="str">
            <v>Perempuan</v>
          </cell>
          <cell r="AE34" t="str">
            <v>D4</v>
          </cell>
          <cell r="AG34" t="str">
            <v>REKAM MEDIS DAN INFORMASI KESEHATAN</v>
          </cell>
          <cell r="AW34" t="str">
            <v>BLUD</v>
          </cell>
        </row>
        <row r="35">
          <cell r="G35" t="str">
            <v>AKTIF</v>
          </cell>
          <cell r="N35" t="str">
            <v>Perempuan</v>
          </cell>
          <cell r="AE35" t="str">
            <v>S1</v>
          </cell>
          <cell r="AG35" t="str">
            <v>KEPERAWATAN</v>
          </cell>
          <cell r="AW35" t="str">
            <v>PNS</v>
          </cell>
        </row>
        <row r="36">
          <cell r="G36" t="str">
            <v>AKTIF</v>
          </cell>
          <cell r="N36" t="str">
            <v>Perempuan</v>
          </cell>
          <cell r="AE36" t="str">
            <v>S1 + Profesi</v>
          </cell>
          <cell r="AG36" t="str">
            <v>NERS</v>
          </cell>
          <cell r="AW36" t="str">
            <v>PNS</v>
          </cell>
        </row>
        <row r="37">
          <cell r="G37" t="str">
            <v>AKTIF</v>
          </cell>
          <cell r="N37" t="str">
            <v>Perempuan</v>
          </cell>
          <cell r="AE37" t="str">
            <v>APOTEKER</v>
          </cell>
          <cell r="AG37" t="str">
            <v>APOTEKER</v>
          </cell>
          <cell r="AW37" t="str">
            <v>APBD</v>
          </cell>
        </row>
        <row r="38">
          <cell r="G38" t="str">
            <v>AKTIF</v>
          </cell>
          <cell r="N38" t="str">
            <v>Perempuan</v>
          </cell>
          <cell r="AE38" t="str">
            <v>APOTEKER</v>
          </cell>
          <cell r="AG38" t="str">
            <v>APOTEKER</v>
          </cell>
          <cell r="AW38" t="str">
            <v>PNS</v>
          </cell>
        </row>
        <row r="39">
          <cell r="G39" t="str">
            <v>AKTIF</v>
          </cell>
          <cell r="N39" t="str">
            <v>Perempuan</v>
          </cell>
          <cell r="AE39" t="str">
            <v>APOTEKER</v>
          </cell>
          <cell r="AG39" t="str">
            <v>APOTEKER</v>
          </cell>
          <cell r="AW39" t="str">
            <v>PNS</v>
          </cell>
        </row>
        <row r="40">
          <cell r="G40" t="str">
            <v>AKTIF</v>
          </cell>
          <cell r="N40" t="str">
            <v>Perempuan</v>
          </cell>
          <cell r="AE40" t="str">
            <v>APOTEKER</v>
          </cell>
          <cell r="AG40" t="str">
            <v>APOTEKER</v>
          </cell>
          <cell r="AW40" t="str">
            <v>PNS</v>
          </cell>
        </row>
        <row r="41">
          <cell r="G41" t="str">
            <v>AKTIF</v>
          </cell>
          <cell r="N41" t="str">
            <v>Perempuan</v>
          </cell>
          <cell r="AE41" t="str">
            <v>APOTEKER</v>
          </cell>
          <cell r="AG41" t="str">
            <v>APOTEKER</v>
          </cell>
          <cell r="AW41" t="str">
            <v>BLUD</v>
          </cell>
        </row>
        <row r="42">
          <cell r="G42" t="str">
            <v>AKTIF</v>
          </cell>
          <cell r="N42" t="str">
            <v>Perempuan</v>
          </cell>
          <cell r="AE42" t="str">
            <v>APOTEKER</v>
          </cell>
          <cell r="AG42" t="str">
            <v>APOTEKER</v>
          </cell>
          <cell r="AW42" t="str">
            <v>PNS</v>
          </cell>
        </row>
        <row r="43">
          <cell r="G43" t="str">
            <v>AKTIF</v>
          </cell>
          <cell r="N43" t="str">
            <v>Perempuan</v>
          </cell>
          <cell r="AE43" t="str">
            <v>S1</v>
          </cell>
          <cell r="AG43" t="str">
            <v>SAINS</v>
          </cell>
          <cell r="AW43" t="str">
            <v>PNS</v>
          </cell>
        </row>
        <row r="44">
          <cell r="G44" t="str">
            <v>AKTIF</v>
          </cell>
          <cell r="N44" t="str">
            <v>Perempuan</v>
          </cell>
          <cell r="AE44" t="str">
            <v>D3</v>
          </cell>
          <cell r="AG44" t="str">
            <v>TEKNIK ELEKTROMEDIS</v>
          </cell>
          <cell r="AW44" t="str">
            <v>PNS</v>
          </cell>
        </row>
        <row r="45">
          <cell r="G45" t="str">
            <v>AKTIF</v>
          </cell>
          <cell r="N45" t="str">
            <v>Perempuan</v>
          </cell>
          <cell r="AE45" t="str">
            <v>D4</v>
          </cell>
          <cell r="AG45" t="str">
            <v>BIDAN PENDIDIK</v>
          </cell>
          <cell r="AW45" t="str">
            <v>PNS</v>
          </cell>
        </row>
        <row r="46">
          <cell r="G46" t="str">
            <v>AKTIF</v>
          </cell>
          <cell r="N46" t="str">
            <v>Laki-Laki</v>
          </cell>
          <cell r="AE46" t="str">
            <v>SMA</v>
          </cell>
          <cell r="AG46" t="str">
            <v>SMK</v>
          </cell>
          <cell r="AW46" t="str">
            <v>APBD</v>
          </cell>
        </row>
        <row r="47">
          <cell r="G47" t="str">
            <v>AKTIF</v>
          </cell>
          <cell r="N47" t="str">
            <v>Perempuan</v>
          </cell>
          <cell r="AE47" t="str">
            <v>S2</v>
          </cell>
          <cell r="AG47" t="str">
            <v>KESEHATAN MASYARAKAT</v>
          </cell>
          <cell r="AW47" t="str">
            <v>PNS</v>
          </cell>
        </row>
        <row r="48">
          <cell r="G48" t="str">
            <v>AKTIF</v>
          </cell>
          <cell r="N48" t="str">
            <v>Laki-Laki</v>
          </cell>
          <cell r="AE48" t="str">
            <v>D3</v>
          </cell>
          <cell r="AG48" t="str">
            <v>KEPERAWATAN</v>
          </cell>
          <cell r="AW48" t="str">
            <v>BLUD</v>
          </cell>
        </row>
        <row r="49">
          <cell r="G49" t="str">
            <v>AKTIF</v>
          </cell>
          <cell r="N49" t="str">
            <v>Perempuan</v>
          </cell>
          <cell r="AE49" t="str">
            <v>D3</v>
          </cell>
          <cell r="AG49" t="str">
            <v>KEPERAWATAN</v>
          </cell>
          <cell r="AW49" t="str">
            <v>PNS</v>
          </cell>
        </row>
        <row r="50">
          <cell r="G50" t="str">
            <v>AKTIF</v>
          </cell>
          <cell r="N50" t="str">
            <v>Perempuan</v>
          </cell>
          <cell r="AE50" t="str">
            <v>D4</v>
          </cell>
          <cell r="AG50" t="str">
            <v>GIZI</v>
          </cell>
          <cell r="AW50" t="str">
            <v>PNS</v>
          </cell>
        </row>
        <row r="51">
          <cell r="G51" t="str">
            <v>AKTIF</v>
          </cell>
          <cell r="N51" t="str">
            <v>Perempuan</v>
          </cell>
          <cell r="AE51" t="str">
            <v>D3</v>
          </cell>
          <cell r="AG51" t="str">
            <v>ANALIS KESEHATAN</v>
          </cell>
          <cell r="AW51" t="str">
            <v>APBD</v>
          </cell>
        </row>
        <row r="52">
          <cell r="G52" t="str">
            <v>AKTIF</v>
          </cell>
          <cell r="N52" t="str">
            <v>Perempuan</v>
          </cell>
          <cell r="AE52" t="str">
            <v>S1 + Profesi</v>
          </cell>
          <cell r="AG52" t="str">
            <v>NERS</v>
          </cell>
          <cell r="AW52" t="str">
            <v>PNS</v>
          </cell>
        </row>
        <row r="53">
          <cell r="G53" t="str">
            <v>AKTIF</v>
          </cell>
          <cell r="N53" t="str">
            <v>Laki-Laki</v>
          </cell>
          <cell r="AE53" t="str">
            <v>S1</v>
          </cell>
          <cell r="AG53" t="str">
            <v>MANAJEMEN BISNIS SYARIAH</v>
          </cell>
          <cell r="AW53" t="str">
            <v>BLUD</v>
          </cell>
        </row>
        <row r="54">
          <cell r="G54" t="str">
            <v>AKTIF</v>
          </cell>
          <cell r="N54" t="str">
            <v>Laki-Laki</v>
          </cell>
          <cell r="AE54" t="str">
            <v>SMA</v>
          </cell>
          <cell r="AG54" t="str">
            <v>SMA</v>
          </cell>
          <cell r="AW54" t="str">
            <v>BLUD</v>
          </cell>
        </row>
        <row r="55">
          <cell r="G55" t="str">
            <v>AKTIF</v>
          </cell>
          <cell r="N55" t="str">
            <v>Laki-Laki</v>
          </cell>
          <cell r="AE55" t="str">
            <v>S1</v>
          </cell>
          <cell r="AG55" t="str">
            <v>ILMU KOMUNIKASI</v>
          </cell>
          <cell r="AW55" t="str">
            <v>APBD</v>
          </cell>
        </row>
        <row r="56">
          <cell r="G56" t="str">
            <v>AKTIF</v>
          </cell>
          <cell r="N56" t="str">
            <v>Perempuan</v>
          </cell>
          <cell r="AE56" t="str">
            <v>D4</v>
          </cell>
          <cell r="AG56" t="str">
            <v>GIZI</v>
          </cell>
          <cell r="AW56" t="str">
            <v>PNS</v>
          </cell>
        </row>
        <row r="57">
          <cell r="G57" t="str">
            <v>AKTIF</v>
          </cell>
          <cell r="N57" t="str">
            <v>Perempuan</v>
          </cell>
          <cell r="AE57" t="str">
            <v>SMA</v>
          </cell>
          <cell r="AG57" t="str">
            <v>SMA</v>
          </cell>
          <cell r="AW57" t="str">
            <v>BLUD</v>
          </cell>
        </row>
        <row r="58">
          <cell r="G58" t="str">
            <v>AKTIF</v>
          </cell>
          <cell r="N58" t="str">
            <v>Perempuan</v>
          </cell>
          <cell r="AE58" t="str">
            <v>D3</v>
          </cell>
          <cell r="AG58" t="str">
            <v>ANALIS FARMASI DAN MAKANAN</v>
          </cell>
          <cell r="AW58" t="str">
            <v>APBD</v>
          </cell>
        </row>
        <row r="59">
          <cell r="G59" t="str">
            <v>AKTIF</v>
          </cell>
          <cell r="N59" t="str">
            <v>Perempuan</v>
          </cell>
          <cell r="AE59" t="str">
            <v>D3</v>
          </cell>
          <cell r="AG59" t="str">
            <v>KEBIDANAN</v>
          </cell>
          <cell r="AW59" t="str">
            <v>APBD</v>
          </cell>
        </row>
        <row r="60">
          <cell r="G60" t="str">
            <v>AKTIF</v>
          </cell>
          <cell r="N60" t="str">
            <v>Laki-Laki</v>
          </cell>
          <cell r="AE60" t="str">
            <v>S1 + Profesi</v>
          </cell>
          <cell r="AG60" t="str">
            <v>NERS</v>
          </cell>
          <cell r="AW60" t="str">
            <v>APBD</v>
          </cell>
        </row>
        <row r="61">
          <cell r="G61" t="str">
            <v>AKTIF</v>
          </cell>
          <cell r="N61" t="str">
            <v>Laki-Laki</v>
          </cell>
          <cell r="AE61" t="str">
            <v>S1</v>
          </cell>
          <cell r="AG61" t="str">
            <v>FISIOTERAPI</v>
          </cell>
          <cell r="AW61" t="str">
            <v>APBD</v>
          </cell>
        </row>
        <row r="62">
          <cell r="G62" t="str">
            <v>AKTIF</v>
          </cell>
          <cell r="N62" t="str">
            <v>Laki-Laki</v>
          </cell>
          <cell r="AE62" t="str">
            <v>S2</v>
          </cell>
          <cell r="AG62" t="str">
            <v>MANAJEMEN SUMBER DAYA MANUSIA</v>
          </cell>
          <cell r="AW62" t="str">
            <v>PNS</v>
          </cell>
        </row>
        <row r="63">
          <cell r="G63" t="str">
            <v>AKTIF</v>
          </cell>
          <cell r="N63" t="str">
            <v>Perempuan</v>
          </cell>
          <cell r="AE63" t="str">
            <v>S1</v>
          </cell>
          <cell r="AG63" t="str">
            <v>FISIKAWAN MEDIS</v>
          </cell>
          <cell r="AW63" t="str">
            <v>PNS</v>
          </cell>
        </row>
        <row r="64">
          <cell r="G64" t="str">
            <v>AKTIF</v>
          </cell>
          <cell r="N64" t="str">
            <v>Perempuan</v>
          </cell>
          <cell r="AE64" t="str">
            <v>D3</v>
          </cell>
          <cell r="AG64" t="str">
            <v>KEPERAWATAN</v>
          </cell>
          <cell r="AW64" t="str">
            <v>APBD</v>
          </cell>
        </row>
        <row r="65">
          <cell r="G65" t="str">
            <v>AKTIF</v>
          </cell>
          <cell r="N65" t="str">
            <v>Perempuan</v>
          </cell>
          <cell r="AE65" t="str">
            <v>D3</v>
          </cell>
          <cell r="AG65" t="str">
            <v>KEBIDANAN</v>
          </cell>
          <cell r="AW65" t="str">
            <v>APBD</v>
          </cell>
        </row>
        <row r="66">
          <cell r="G66" t="str">
            <v>AKTIF</v>
          </cell>
          <cell r="N66" t="str">
            <v>Perempuan</v>
          </cell>
          <cell r="AE66" t="str">
            <v>D3</v>
          </cell>
          <cell r="AG66" t="str">
            <v>KEPERAWATAN GIGI</v>
          </cell>
          <cell r="AW66" t="str">
            <v>BLUD</v>
          </cell>
        </row>
        <row r="67">
          <cell r="G67" t="str">
            <v>AKTIF</v>
          </cell>
          <cell r="N67" t="str">
            <v>Laki-Laki</v>
          </cell>
          <cell r="AE67" t="str">
            <v>D3</v>
          </cell>
          <cell r="AG67" t="str">
            <v>TEKNIK KOMPUTER DAN INFORMATIKA</v>
          </cell>
          <cell r="AW67" t="str">
            <v>BLUD</v>
          </cell>
        </row>
        <row r="68">
          <cell r="G68" t="str">
            <v>AKTIF</v>
          </cell>
          <cell r="N68" t="str">
            <v>Perempuan</v>
          </cell>
          <cell r="AE68" t="str">
            <v>D3</v>
          </cell>
          <cell r="AG68" t="str">
            <v>TEKNIK RADIODIAGNOSTIK DAN RADIOTERAPI</v>
          </cell>
          <cell r="AW68" t="str">
            <v>PNS</v>
          </cell>
        </row>
        <row r="69">
          <cell r="G69" t="str">
            <v>AKTIF</v>
          </cell>
          <cell r="N69" t="str">
            <v>Perempuan</v>
          </cell>
          <cell r="AE69" t="str">
            <v>S1 + Profesi</v>
          </cell>
          <cell r="AG69" t="str">
            <v>NERS</v>
          </cell>
          <cell r="AW69" t="str">
            <v>PNS</v>
          </cell>
        </row>
        <row r="70">
          <cell r="G70" t="str">
            <v>AKTIF</v>
          </cell>
          <cell r="N70" t="str">
            <v>Laki-Laki</v>
          </cell>
          <cell r="AE70" t="str">
            <v>D3</v>
          </cell>
          <cell r="AG70" t="str">
            <v>REPRAKSI OPTIZIEN</v>
          </cell>
          <cell r="AW70" t="str">
            <v>APBD</v>
          </cell>
        </row>
        <row r="71">
          <cell r="G71" t="str">
            <v>AKTIF</v>
          </cell>
          <cell r="N71" t="str">
            <v>Laki-Laki</v>
          </cell>
          <cell r="AE71" t="str">
            <v>D3</v>
          </cell>
          <cell r="AG71" t="str">
            <v>TEKNIK ELEKTROMEDIS</v>
          </cell>
          <cell r="AW71" t="str">
            <v>APBD</v>
          </cell>
        </row>
        <row r="72">
          <cell r="G72" t="str">
            <v>AKTIF</v>
          </cell>
          <cell r="N72" t="str">
            <v>Laki-Laki</v>
          </cell>
          <cell r="AE72" t="str">
            <v>SMA</v>
          </cell>
          <cell r="AG72" t="str">
            <v>SMK</v>
          </cell>
          <cell r="AW72" t="str">
            <v>BLUD</v>
          </cell>
        </row>
        <row r="73">
          <cell r="G73" t="str">
            <v>MUTASI</v>
          </cell>
          <cell r="N73" t="str">
            <v>Laki-Laki</v>
          </cell>
          <cell r="AE73" t="str">
            <v>APOTEKER</v>
          </cell>
          <cell r="AG73" t="str">
            <v>APOTEKER</v>
          </cell>
        </row>
        <row r="74">
          <cell r="G74" t="str">
            <v>AKTIF</v>
          </cell>
          <cell r="N74" t="str">
            <v>Laki-Laki</v>
          </cell>
          <cell r="AE74" t="str">
            <v>D3</v>
          </cell>
          <cell r="AG74" t="str">
            <v>FISIOTERAPI</v>
          </cell>
          <cell r="AW74" t="str">
            <v>APBD</v>
          </cell>
        </row>
        <row r="75">
          <cell r="G75" t="str">
            <v>AKTIF</v>
          </cell>
          <cell r="N75" t="str">
            <v>Laki-Laki</v>
          </cell>
          <cell r="AE75" t="str">
            <v>SMA</v>
          </cell>
          <cell r="AG75" t="str">
            <v>SMK</v>
          </cell>
          <cell r="AW75" t="str">
            <v>BLUD</v>
          </cell>
        </row>
        <row r="76">
          <cell r="G76" t="str">
            <v>AKTIF</v>
          </cell>
          <cell r="N76" t="str">
            <v>Perempuan</v>
          </cell>
          <cell r="AE76" t="str">
            <v>D3</v>
          </cell>
          <cell r="AG76" t="str">
            <v>FISIOTERAPI</v>
          </cell>
          <cell r="AW76" t="str">
            <v>APBD</v>
          </cell>
        </row>
        <row r="77">
          <cell r="G77" t="str">
            <v>AKTIF</v>
          </cell>
          <cell r="N77" t="str">
            <v>Perempuan</v>
          </cell>
          <cell r="AE77" t="str">
            <v>S1 + Profesi</v>
          </cell>
          <cell r="AG77" t="str">
            <v>NERS</v>
          </cell>
          <cell r="AW77" t="str">
            <v>BLUD</v>
          </cell>
        </row>
        <row r="78">
          <cell r="G78" t="str">
            <v>AKTIF</v>
          </cell>
          <cell r="N78" t="str">
            <v>Perempuan</v>
          </cell>
          <cell r="AE78" t="str">
            <v>S1 + Profesi</v>
          </cell>
          <cell r="AG78" t="str">
            <v>NERS</v>
          </cell>
          <cell r="AW78" t="str">
            <v>APBD</v>
          </cell>
        </row>
        <row r="79">
          <cell r="G79" t="str">
            <v>AKTIF</v>
          </cell>
          <cell r="N79" t="str">
            <v>Perempuan</v>
          </cell>
          <cell r="AE79" t="str">
            <v>S1 + Profesi</v>
          </cell>
          <cell r="AG79" t="str">
            <v>NERS</v>
          </cell>
          <cell r="AW79" t="str">
            <v>PNS</v>
          </cell>
        </row>
        <row r="80">
          <cell r="G80" t="str">
            <v>AKTIF</v>
          </cell>
          <cell r="N80" t="str">
            <v>Perempuan</v>
          </cell>
          <cell r="AE80" t="str">
            <v>S1 + Profesi</v>
          </cell>
          <cell r="AG80" t="str">
            <v>NERS</v>
          </cell>
          <cell r="AW80" t="str">
            <v>BLUD</v>
          </cell>
        </row>
        <row r="81">
          <cell r="G81" t="str">
            <v>AKTIF</v>
          </cell>
          <cell r="N81" t="str">
            <v>Perempuan</v>
          </cell>
          <cell r="AE81" t="str">
            <v>D3</v>
          </cell>
          <cell r="AG81" t="str">
            <v>KEPERAWATAN</v>
          </cell>
          <cell r="AW81" t="str">
            <v>APBD</v>
          </cell>
        </row>
        <row r="82">
          <cell r="G82" t="str">
            <v>AKTIF</v>
          </cell>
          <cell r="N82" t="str">
            <v>Perempuan</v>
          </cell>
          <cell r="AE82" t="str">
            <v>D3</v>
          </cell>
          <cell r="AG82" t="str">
            <v>REKAM MEDIS DAN INFORMASI KESEHATAN</v>
          </cell>
          <cell r="AW82" t="str">
            <v>BLUD</v>
          </cell>
        </row>
        <row r="83">
          <cell r="G83" t="str">
            <v>AKTIF</v>
          </cell>
          <cell r="N83" t="str">
            <v>Perempuan</v>
          </cell>
          <cell r="AE83" t="str">
            <v>D3</v>
          </cell>
          <cell r="AG83" t="str">
            <v>KEPERAWATAN</v>
          </cell>
          <cell r="AW83" t="str">
            <v>PNS</v>
          </cell>
        </row>
        <row r="84">
          <cell r="G84" t="str">
            <v>AKTIF</v>
          </cell>
          <cell r="N84" t="str">
            <v>Perempuan</v>
          </cell>
          <cell r="AE84" t="str">
            <v>D3</v>
          </cell>
          <cell r="AG84" t="str">
            <v>KEBIDANAN</v>
          </cell>
          <cell r="AW84" t="str">
            <v>APBD</v>
          </cell>
        </row>
        <row r="85">
          <cell r="G85" t="str">
            <v>AKTIF</v>
          </cell>
          <cell r="N85" t="str">
            <v>Laki-Laki</v>
          </cell>
          <cell r="AE85" t="str">
            <v>S1</v>
          </cell>
          <cell r="AG85" t="str">
            <v>HUKUM</v>
          </cell>
          <cell r="AW85" t="str">
            <v>APBD</v>
          </cell>
        </row>
        <row r="86">
          <cell r="G86" t="str">
            <v>AKTIF</v>
          </cell>
          <cell r="N86" t="str">
            <v>Perempuan</v>
          </cell>
          <cell r="AE86" t="str">
            <v>S1 + Profesi</v>
          </cell>
          <cell r="AG86" t="str">
            <v>NERS</v>
          </cell>
          <cell r="AW86" t="str">
            <v>APBD</v>
          </cell>
        </row>
        <row r="87">
          <cell r="G87" t="str">
            <v>AKTIF</v>
          </cell>
          <cell r="N87" t="str">
            <v>Perempuan</v>
          </cell>
          <cell r="AE87" t="str">
            <v>S1</v>
          </cell>
          <cell r="AG87" t="str">
            <v>EPIDEMIOLOGI</v>
          </cell>
          <cell r="AW87" t="str">
            <v>BLUD</v>
          </cell>
        </row>
        <row r="88">
          <cell r="G88" t="str">
            <v>AKTIF</v>
          </cell>
          <cell r="N88" t="str">
            <v>Perempuan</v>
          </cell>
          <cell r="AE88" t="str">
            <v>S1</v>
          </cell>
          <cell r="AG88" t="str">
            <v>FARMASI</v>
          </cell>
          <cell r="AW88" t="str">
            <v>APBD</v>
          </cell>
        </row>
        <row r="89">
          <cell r="G89" t="str">
            <v>AKTIF</v>
          </cell>
          <cell r="N89" t="str">
            <v>Perempuan</v>
          </cell>
          <cell r="AE89" t="str">
            <v>S1</v>
          </cell>
          <cell r="AG89" t="str">
            <v>MANAJEMEN</v>
          </cell>
          <cell r="AW89" t="str">
            <v>BLUD</v>
          </cell>
        </row>
        <row r="90">
          <cell r="G90" t="str">
            <v>AKTIF</v>
          </cell>
          <cell r="N90" t="str">
            <v>Laki-Laki</v>
          </cell>
          <cell r="AE90" t="str">
            <v>S1</v>
          </cell>
          <cell r="AG90" t="str">
            <v>SAINS</v>
          </cell>
          <cell r="AW90" t="str">
            <v>PNS</v>
          </cell>
        </row>
        <row r="91">
          <cell r="G91" t="str">
            <v>AKTIF</v>
          </cell>
          <cell r="N91" t="str">
            <v>Perempuan</v>
          </cell>
          <cell r="AE91" t="str">
            <v>S1 + Profesi</v>
          </cell>
          <cell r="AG91" t="str">
            <v>NERS</v>
          </cell>
          <cell r="AW91" t="str">
            <v>PNS</v>
          </cell>
        </row>
        <row r="92">
          <cell r="G92" t="str">
            <v>AKTIF</v>
          </cell>
          <cell r="N92" t="str">
            <v>Perempuan</v>
          </cell>
          <cell r="AE92" t="str">
            <v>SMA</v>
          </cell>
          <cell r="AG92" t="str">
            <v>SMA</v>
          </cell>
          <cell r="AW92" t="str">
            <v>BLUD</v>
          </cell>
        </row>
        <row r="93">
          <cell r="G93" t="str">
            <v>AKTIF</v>
          </cell>
          <cell r="N93" t="str">
            <v>Laki-Laki</v>
          </cell>
          <cell r="AE93" t="str">
            <v>S1</v>
          </cell>
          <cell r="AG93" t="str">
            <v>HUKUM</v>
          </cell>
          <cell r="AW93" t="str">
            <v>PNS</v>
          </cell>
        </row>
        <row r="94">
          <cell r="G94" t="str">
            <v>AKTIF</v>
          </cell>
          <cell r="N94" t="str">
            <v>Perempuan</v>
          </cell>
          <cell r="AE94" t="str">
            <v>D3</v>
          </cell>
          <cell r="AG94" t="str">
            <v>KEBIDANAN</v>
          </cell>
          <cell r="AW94" t="str">
            <v>APBD</v>
          </cell>
        </row>
        <row r="95">
          <cell r="G95" t="str">
            <v>AKTIF</v>
          </cell>
          <cell r="N95" t="str">
            <v>Perempuan</v>
          </cell>
          <cell r="AE95" t="str">
            <v>S1</v>
          </cell>
          <cell r="AG95" t="str">
            <v>KESEHATAN LINGKUNGAN</v>
          </cell>
          <cell r="AW95" t="str">
            <v>APBD</v>
          </cell>
        </row>
        <row r="96">
          <cell r="G96" t="str">
            <v>AKTIF</v>
          </cell>
          <cell r="N96" t="str">
            <v>Perempuan</v>
          </cell>
          <cell r="AE96" t="str">
            <v>D3</v>
          </cell>
          <cell r="AG96" t="str">
            <v>ANALIS KESEHATAN</v>
          </cell>
          <cell r="AW96" t="str">
            <v>APBD</v>
          </cell>
        </row>
        <row r="97">
          <cell r="G97" t="str">
            <v>AKTIF</v>
          </cell>
          <cell r="N97" t="str">
            <v>Perempuan</v>
          </cell>
          <cell r="AE97" t="str">
            <v>D3</v>
          </cell>
          <cell r="AG97" t="str">
            <v>KEBIDANAN</v>
          </cell>
          <cell r="AW97" t="str">
            <v>APBD</v>
          </cell>
        </row>
        <row r="98">
          <cell r="G98" t="str">
            <v>AKTIF</v>
          </cell>
          <cell r="N98" t="str">
            <v>Perempuan</v>
          </cell>
          <cell r="AE98" t="str">
            <v>S1 + Profesi</v>
          </cell>
          <cell r="AG98" t="str">
            <v>NERS</v>
          </cell>
          <cell r="AW98" t="str">
            <v>PNS</v>
          </cell>
        </row>
        <row r="99">
          <cell r="G99" t="str">
            <v>AKTIF</v>
          </cell>
          <cell r="N99" t="str">
            <v>Perempuan</v>
          </cell>
          <cell r="AE99" t="str">
            <v>D3</v>
          </cell>
          <cell r="AG99" t="str">
            <v>ANALIS KESEHATAN</v>
          </cell>
          <cell r="AW99" t="str">
            <v>PNS</v>
          </cell>
        </row>
        <row r="100">
          <cell r="G100" t="str">
            <v>AKTIF</v>
          </cell>
          <cell r="N100" t="str">
            <v>Perempuan</v>
          </cell>
          <cell r="AE100" t="str">
            <v>D3</v>
          </cell>
          <cell r="AG100" t="str">
            <v>KEBIDANAN</v>
          </cell>
          <cell r="AW100" t="str">
            <v>APBD</v>
          </cell>
        </row>
        <row r="101">
          <cell r="G101" t="str">
            <v>AKTIF</v>
          </cell>
          <cell r="N101" t="str">
            <v>Perempuan</v>
          </cell>
          <cell r="AE101" t="str">
            <v>D3</v>
          </cell>
          <cell r="AG101" t="str">
            <v>FISIOTERAPI</v>
          </cell>
          <cell r="AW101" t="str">
            <v>PNS</v>
          </cell>
        </row>
        <row r="102">
          <cell r="G102" t="str">
            <v>AKTIF</v>
          </cell>
          <cell r="N102" t="str">
            <v>Perempuan</v>
          </cell>
          <cell r="AE102" t="str">
            <v>D3</v>
          </cell>
          <cell r="AG102" t="str">
            <v>KEBIDANAN</v>
          </cell>
          <cell r="AW102" t="str">
            <v>APBD</v>
          </cell>
        </row>
        <row r="103">
          <cell r="G103" t="str">
            <v>AKTIF</v>
          </cell>
          <cell r="N103" t="str">
            <v>Perempuan</v>
          </cell>
          <cell r="AE103" t="str">
            <v>S1 + Profesi</v>
          </cell>
          <cell r="AG103" t="str">
            <v>NERS</v>
          </cell>
          <cell r="AW103" t="str">
            <v>APBD</v>
          </cell>
        </row>
        <row r="104">
          <cell r="G104" t="str">
            <v>AKTIF</v>
          </cell>
          <cell r="N104" t="str">
            <v>Perempuan</v>
          </cell>
          <cell r="AE104" t="str">
            <v>S1</v>
          </cell>
          <cell r="AG104" t="str">
            <v>SAINS</v>
          </cell>
          <cell r="AW104" t="str">
            <v>PNS</v>
          </cell>
        </row>
        <row r="105">
          <cell r="G105" t="str">
            <v>AKTIF</v>
          </cell>
          <cell r="N105" t="str">
            <v>Perempuan</v>
          </cell>
          <cell r="AE105" t="str">
            <v>S1 + Profesi</v>
          </cell>
          <cell r="AG105" t="str">
            <v>NERS</v>
          </cell>
          <cell r="AW105" t="str">
            <v>PNS</v>
          </cell>
        </row>
        <row r="106">
          <cell r="G106" t="str">
            <v>AKTIF</v>
          </cell>
          <cell r="N106" t="str">
            <v>Perempuan</v>
          </cell>
          <cell r="AE106" t="str">
            <v>D3</v>
          </cell>
          <cell r="AG106" t="str">
            <v>ANALIS KESEHATAN</v>
          </cell>
          <cell r="AW106" t="str">
            <v>APBD</v>
          </cell>
        </row>
        <row r="107">
          <cell r="G107" t="str">
            <v>AKTIF</v>
          </cell>
          <cell r="N107" t="str">
            <v>Perempuan</v>
          </cell>
          <cell r="AE107" t="str">
            <v>S1</v>
          </cell>
          <cell r="AG107" t="str">
            <v>ILMU KESEHATAN MASYARAKAT</v>
          </cell>
          <cell r="AW107" t="str">
            <v>PNS</v>
          </cell>
        </row>
        <row r="108">
          <cell r="G108" t="str">
            <v>AKTIF</v>
          </cell>
          <cell r="N108" t="str">
            <v>Perempuan</v>
          </cell>
          <cell r="AE108" t="str">
            <v>D3</v>
          </cell>
          <cell r="AG108" t="str">
            <v>MANAJEMEN INFORMATIKA DAN KOMPUTER</v>
          </cell>
          <cell r="AW108" t="str">
            <v>APBD</v>
          </cell>
        </row>
        <row r="109">
          <cell r="G109" t="str">
            <v>AKTIF</v>
          </cell>
          <cell r="N109" t="str">
            <v>Perempuan</v>
          </cell>
          <cell r="AE109" t="str">
            <v>D3</v>
          </cell>
          <cell r="AG109" t="str">
            <v>KEBIDANAN</v>
          </cell>
          <cell r="AW109" t="str">
            <v>APBD</v>
          </cell>
        </row>
        <row r="110">
          <cell r="G110" t="str">
            <v>AKTIF</v>
          </cell>
          <cell r="N110" t="str">
            <v>Perempuan</v>
          </cell>
          <cell r="AE110" t="str">
            <v>D3</v>
          </cell>
          <cell r="AG110" t="str">
            <v>KEPERAWATAN</v>
          </cell>
          <cell r="AW110" t="str">
            <v>APBD</v>
          </cell>
        </row>
        <row r="111">
          <cell r="G111" t="str">
            <v>AKTIF</v>
          </cell>
          <cell r="N111" t="str">
            <v>Perempuan</v>
          </cell>
          <cell r="AE111" t="str">
            <v>D3</v>
          </cell>
          <cell r="AG111" t="str">
            <v>KEBIDANAN</v>
          </cell>
          <cell r="AW111" t="str">
            <v>APBD</v>
          </cell>
        </row>
        <row r="112">
          <cell r="G112" t="str">
            <v>AKTIF</v>
          </cell>
          <cell r="N112" t="str">
            <v>Laki-Laki</v>
          </cell>
          <cell r="AE112" t="str">
            <v>D3</v>
          </cell>
          <cell r="AG112" t="str">
            <v>KOMPUTERISASI AKUTANSI</v>
          </cell>
          <cell r="AW112" t="str">
            <v>APBD</v>
          </cell>
        </row>
        <row r="113">
          <cell r="G113" t="str">
            <v>AKTIF</v>
          </cell>
          <cell r="N113" t="str">
            <v>Laki-Laki</v>
          </cell>
          <cell r="AE113" t="str">
            <v>SMA</v>
          </cell>
          <cell r="AG113" t="str">
            <v>SMK</v>
          </cell>
          <cell r="AW113" t="str">
            <v>BLUD</v>
          </cell>
        </row>
        <row r="114">
          <cell r="G114" t="str">
            <v>AKTIF</v>
          </cell>
          <cell r="N114" t="str">
            <v>Perempuan</v>
          </cell>
          <cell r="AE114" t="str">
            <v>SMA</v>
          </cell>
          <cell r="AG114" t="str">
            <v>SMK</v>
          </cell>
          <cell r="AW114" t="str">
            <v>BLUD</v>
          </cell>
        </row>
        <row r="115">
          <cell r="G115" t="str">
            <v>AKTIF</v>
          </cell>
          <cell r="N115" t="str">
            <v>Laki-Laki</v>
          </cell>
          <cell r="AE115" t="str">
            <v>SMA</v>
          </cell>
          <cell r="AG115" t="str">
            <v>SMK</v>
          </cell>
          <cell r="AW115" t="str">
            <v>BLUD</v>
          </cell>
        </row>
        <row r="116">
          <cell r="G116" t="str">
            <v>AKTIF</v>
          </cell>
          <cell r="N116" t="str">
            <v>Laki-Laki</v>
          </cell>
          <cell r="AE116" t="str">
            <v>S1</v>
          </cell>
          <cell r="AG116" t="str">
            <v>MANAJEMEN</v>
          </cell>
          <cell r="AW116" t="str">
            <v>APBD</v>
          </cell>
        </row>
        <row r="117">
          <cell r="G117" t="str">
            <v>AKTIF</v>
          </cell>
          <cell r="N117" t="str">
            <v>Perempuan</v>
          </cell>
          <cell r="AE117" t="str">
            <v>S1 + Profesi</v>
          </cell>
          <cell r="AG117" t="str">
            <v>NERS</v>
          </cell>
          <cell r="AW117" t="str">
            <v>PNS</v>
          </cell>
        </row>
        <row r="118">
          <cell r="G118" t="str">
            <v>AKTIF</v>
          </cell>
          <cell r="N118" t="str">
            <v>Laki-Laki</v>
          </cell>
          <cell r="AE118" t="str">
            <v>S2 + Profesi</v>
          </cell>
          <cell r="AG118" t="str">
            <v>Spesialis Kedokteran Forensik &amp; Medikolegal</v>
          </cell>
          <cell r="AW118" t="str">
            <v>PNS</v>
          </cell>
        </row>
        <row r="119">
          <cell r="G119" t="str">
            <v>AKTIF</v>
          </cell>
          <cell r="N119" t="str">
            <v>Laki-Laki</v>
          </cell>
          <cell r="AE119" t="str">
            <v>S1</v>
          </cell>
          <cell r="AG119" t="str">
            <v>SPESIALIS PENYAKIT DALAM</v>
          </cell>
          <cell r="AW119" t="str">
            <v>BLUD</v>
          </cell>
        </row>
        <row r="120">
          <cell r="G120" t="str">
            <v>RESIGN</v>
          </cell>
          <cell r="N120" t="str">
            <v>Laki-Laki</v>
          </cell>
          <cell r="AE120" t="str">
            <v>S1</v>
          </cell>
          <cell r="AG120" t="str">
            <v>Kedokteran Umum</v>
          </cell>
        </row>
        <row r="121">
          <cell r="G121" t="str">
            <v>AKTIF</v>
          </cell>
          <cell r="N121" t="str">
            <v>Perempuan</v>
          </cell>
          <cell r="AE121" t="str">
            <v>S1</v>
          </cell>
          <cell r="AG121" t="str">
            <v>Kedokteran Umum</v>
          </cell>
          <cell r="AW121" t="str">
            <v>PNS</v>
          </cell>
        </row>
        <row r="122">
          <cell r="G122" t="str">
            <v>AKTIF</v>
          </cell>
          <cell r="N122" t="str">
            <v>Perempuan</v>
          </cell>
          <cell r="AE122" t="str">
            <v>S2 + Profesi</v>
          </cell>
          <cell r="AG122" t="str">
            <v>Spesialis Mata</v>
          </cell>
          <cell r="AW122" t="str">
            <v>PNS</v>
          </cell>
        </row>
        <row r="123">
          <cell r="G123" t="str">
            <v>AKTIF</v>
          </cell>
          <cell r="N123" t="str">
            <v>Laki-Laki</v>
          </cell>
          <cell r="AE123" t="str">
            <v>S2 + Profesi</v>
          </cell>
          <cell r="AG123" t="str">
            <v>Spesialis Bedah Saraf</v>
          </cell>
          <cell r="AW123" t="str">
            <v>APBD</v>
          </cell>
        </row>
        <row r="124">
          <cell r="G124" t="str">
            <v>AKTIF</v>
          </cell>
          <cell r="N124" t="str">
            <v>Laki-Laki</v>
          </cell>
          <cell r="AE124" t="str">
            <v>S2 + Profesi</v>
          </cell>
          <cell r="AG124" t="str">
            <v>SUB SPESIALIS ANESTESI INTERNSIP CARE</v>
          </cell>
          <cell r="AW124" t="str">
            <v>BLUD</v>
          </cell>
        </row>
        <row r="125">
          <cell r="G125" t="str">
            <v>MUTASI</v>
          </cell>
          <cell r="N125" t="str">
            <v>Perempuan</v>
          </cell>
          <cell r="AE125" t="str">
            <v>S1</v>
          </cell>
          <cell r="AG125" t="str">
            <v>Kedokteran Umum</v>
          </cell>
          <cell r="AW125" t="str">
            <v>PNS</v>
          </cell>
        </row>
        <row r="126">
          <cell r="G126" t="str">
            <v>AKTIF</v>
          </cell>
          <cell r="N126" t="str">
            <v>Perempuan</v>
          </cell>
          <cell r="AE126" t="str">
            <v>S2 + Profesi</v>
          </cell>
          <cell r="AG126" t="str">
            <v>Spesialis Kedokteran Fisik Dan Rehabilitasi</v>
          </cell>
          <cell r="AW126" t="str">
            <v>PNS</v>
          </cell>
        </row>
        <row r="127">
          <cell r="G127" t="str">
            <v>AKTIF</v>
          </cell>
          <cell r="N127" t="str">
            <v>Laki-Laki</v>
          </cell>
          <cell r="AE127" t="str">
            <v>S2 + Profesi</v>
          </cell>
          <cell r="AG127" t="str">
            <v>Spesialis Radiologi</v>
          </cell>
          <cell r="AW127" t="str">
            <v>APBD</v>
          </cell>
        </row>
        <row r="128">
          <cell r="G128" t="str">
            <v>AKTIF</v>
          </cell>
          <cell r="N128" t="str">
            <v>Laki-Laki</v>
          </cell>
          <cell r="AE128" t="str">
            <v>S1</v>
          </cell>
          <cell r="AG128" t="str">
            <v>KEDOKTERAN UMUM</v>
          </cell>
          <cell r="AW128" t="str">
            <v>BLUD</v>
          </cell>
        </row>
        <row r="129">
          <cell r="G129" t="str">
            <v>AKTIF</v>
          </cell>
          <cell r="N129" t="str">
            <v>Perempuan</v>
          </cell>
          <cell r="AE129" t="str">
            <v>S1</v>
          </cell>
          <cell r="AG129" t="str">
            <v>Kedokteran Umum</v>
          </cell>
          <cell r="AW129" t="str">
            <v>APBD</v>
          </cell>
        </row>
        <row r="130">
          <cell r="G130" t="str">
            <v>AKTIF</v>
          </cell>
          <cell r="N130" t="str">
            <v>Perempuan</v>
          </cell>
          <cell r="AE130" t="str">
            <v>S1</v>
          </cell>
          <cell r="AG130" t="str">
            <v>Kedokteran Umum</v>
          </cell>
          <cell r="AW130" t="str">
            <v>BLUD</v>
          </cell>
        </row>
        <row r="131">
          <cell r="G131" t="str">
            <v>AKTIF</v>
          </cell>
          <cell r="N131" t="str">
            <v>Perempuan</v>
          </cell>
          <cell r="AE131" t="str">
            <v>S2 + Profesi</v>
          </cell>
          <cell r="AG131" t="str">
            <v>SPESIALIS OBSTETRI DAN GINEKOLOGI</v>
          </cell>
          <cell r="AW131" t="str">
            <v>PNS</v>
          </cell>
        </row>
        <row r="132">
          <cell r="G132" t="str">
            <v>AKTIF</v>
          </cell>
          <cell r="N132" t="str">
            <v>Laki-Laki</v>
          </cell>
          <cell r="AE132" t="str">
            <v>S2 + SUB</v>
          </cell>
          <cell r="AG132" t="str">
            <v>Sub Spesialis Penyakit Dalam-Gastroenterohepatologi</v>
          </cell>
          <cell r="AW132" t="str">
            <v>BLUD</v>
          </cell>
        </row>
        <row r="133">
          <cell r="G133" t="str">
            <v>AKTIF</v>
          </cell>
          <cell r="N133" t="str">
            <v>Laki-Laki</v>
          </cell>
          <cell r="AE133" t="str">
            <v>S1</v>
          </cell>
          <cell r="AG133" t="str">
            <v>KEDOKTERAN UMUM</v>
          </cell>
          <cell r="AW133" t="str">
            <v>BLUD</v>
          </cell>
        </row>
        <row r="134">
          <cell r="G134" t="str">
            <v>AKTIF</v>
          </cell>
          <cell r="N134" t="str">
            <v>Perempuan</v>
          </cell>
          <cell r="AE134" t="str">
            <v>S1</v>
          </cell>
          <cell r="AG134" t="str">
            <v>Kedokteran Umum</v>
          </cell>
          <cell r="AW134" t="str">
            <v>APBD</v>
          </cell>
        </row>
        <row r="135">
          <cell r="G135" t="str">
            <v>AKTIF</v>
          </cell>
          <cell r="N135" t="str">
            <v>Laki-Laki</v>
          </cell>
          <cell r="AE135" t="str">
            <v>S1</v>
          </cell>
          <cell r="AG135" t="str">
            <v>Kedokteran Umum</v>
          </cell>
          <cell r="AW135" t="str">
            <v>PNS</v>
          </cell>
        </row>
        <row r="136">
          <cell r="G136" t="str">
            <v>AKTIF</v>
          </cell>
          <cell r="N136" t="str">
            <v>Laki-Laki</v>
          </cell>
          <cell r="AE136" t="str">
            <v>S2 + Profesi</v>
          </cell>
          <cell r="AG136" t="str">
            <v>Spesialis Kedokteran Fisik Dan Rehabilitasi</v>
          </cell>
          <cell r="AW136" t="str">
            <v>PNS</v>
          </cell>
        </row>
        <row r="137">
          <cell r="G137" t="str">
            <v>AKTIF</v>
          </cell>
          <cell r="N137" t="str">
            <v>Laki-Laki</v>
          </cell>
          <cell r="AE137" t="str">
            <v>S2 + Profesi</v>
          </cell>
          <cell r="AG137" t="str">
            <v>Spesialis Neurologi</v>
          </cell>
          <cell r="AW137" t="str">
            <v>PNS</v>
          </cell>
        </row>
        <row r="138">
          <cell r="G138" t="str">
            <v>AKTIF</v>
          </cell>
          <cell r="N138" t="str">
            <v>Perempuan</v>
          </cell>
          <cell r="AE138" t="str">
            <v>S2 + Profesi</v>
          </cell>
          <cell r="AG138" t="str">
            <v>Spesialis Kedokteran Jiwa Atau Psikiatri</v>
          </cell>
          <cell r="AW138" t="str">
            <v>PNS</v>
          </cell>
        </row>
        <row r="139">
          <cell r="G139" t="str">
            <v>RESIGN</v>
          </cell>
          <cell r="N139" t="str">
            <v>Laki-Laki</v>
          </cell>
          <cell r="AE139" t="str">
            <v>S1</v>
          </cell>
          <cell r="AG139" t="str">
            <v>Kedokteran Umum</v>
          </cell>
        </row>
        <row r="140">
          <cell r="G140" t="str">
            <v>AKTIF</v>
          </cell>
          <cell r="N140" t="str">
            <v>Laki-Laki</v>
          </cell>
          <cell r="AE140" t="str">
            <v>S2 + SUB</v>
          </cell>
          <cell r="AG140" t="str">
            <v>SUB SPESIALIS PENYAKIT DALAM-KARDIOVASKULAR</v>
          </cell>
          <cell r="AW140" t="str">
            <v>PNS</v>
          </cell>
        </row>
        <row r="141">
          <cell r="G141" t="str">
            <v>AKTIF</v>
          </cell>
          <cell r="N141" t="str">
            <v>Laki-Laki</v>
          </cell>
          <cell r="AE141" t="str">
            <v>S1</v>
          </cell>
          <cell r="AG141" t="str">
            <v>Kedokteran Umum</v>
          </cell>
          <cell r="AW141" t="str">
            <v>PNS</v>
          </cell>
        </row>
        <row r="142">
          <cell r="G142" t="str">
            <v>RESIGN</v>
          </cell>
          <cell r="N142" t="str">
            <v>Perempuan</v>
          </cell>
          <cell r="AE142" t="str">
            <v>S1</v>
          </cell>
          <cell r="AG142" t="str">
            <v>Kedokteran Umum</v>
          </cell>
        </row>
        <row r="143">
          <cell r="G143" t="str">
            <v>AKTIF</v>
          </cell>
          <cell r="N143" t="str">
            <v>Perempuan</v>
          </cell>
          <cell r="AE143" t="str">
            <v>S1</v>
          </cell>
          <cell r="AG143" t="str">
            <v>KEDOKTERAN UMUM</v>
          </cell>
          <cell r="AW143" t="str">
            <v>BLUD</v>
          </cell>
        </row>
        <row r="144">
          <cell r="G144" t="str">
            <v>AKTIF</v>
          </cell>
          <cell r="N144" t="str">
            <v>Perempuan</v>
          </cell>
          <cell r="AE144" t="str">
            <v>S2 + Profesi</v>
          </cell>
          <cell r="AG144" t="str">
            <v>SPESIALIS OBSTETRI DAN GINEKOLOGI</v>
          </cell>
          <cell r="AW144" t="str">
            <v>PNS</v>
          </cell>
        </row>
        <row r="145">
          <cell r="G145" t="str">
            <v>AKTIF</v>
          </cell>
          <cell r="N145" t="str">
            <v>Perempuan</v>
          </cell>
          <cell r="AE145" t="str">
            <v>S1</v>
          </cell>
          <cell r="AG145" t="str">
            <v>Kedokteran Umum</v>
          </cell>
          <cell r="AW145" t="str">
            <v>PNS</v>
          </cell>
        </row>
        <row r="146">
          <cell r="G146" t="str">
            <v>AKTIF</v>
          </cell>
          <cell r="N146" t="str">
            <v>Perempuan</v>
          </cell>
          <cell r="AE146" t="str">
            <v>S1</v>
          </cell>
          <cell r="AG146" t="str">
            <v>KEDOKTERAN UMUM</v>
          </cell>
          <cell r="AW146" t="str">
            <v>BLUD</v>
          </cell>
        </row>
        <row r="147">
          <cell r="G147" t="str">
            <v>AKTIF</v>
          </cell>
          <cell r="N147" t="str">
            <v>Perempuan</v>
          </cell>
          <cell r="AE147" t="str">
            <v>S1</v>
          </cell>
          <cell r="AG147" t="str">
            <v>Kedokteran Umum</v>
          </cell>
          <cell r="AW147" t="str">
            <v>PNS</v>
          </cell>
        </row>
        <row r="148">
          <cell r="G148" t="str">
            <v>AKTIF</v>
          </cell>
          <cell r="N148" t="str">
            <v>Laki-Laki</v>
          </cell>
          <cell r="AE148" t="str">
            <v>S1</v>
          </cell>
          <cell r="AG148" t="str">
            <v>Kedokteran Umum</v>
          </cell>
          <cell r="AW148" t="str">
            <v>PNS</v>
          </cell>
        </row>
        <row r="149">
          <cell r="G149" t="str">
            <v>AKTIF</v>
          </cell>
          <cell r="N149" t="str">
            <v>Perempuan</v>
          </cell>
          <cell r="AE149" t="str">
            <v>S1</v>
          </cell>
          <cell r="AG149" t="str">
            <v>Kedokteran Umum</v>
          </cell>
          <cell r="AW149" t="str">
            <v>PNS</v>
          </cell>
        </row>
        <row r="150">
          <cell r="G150" t="str">
            <v>AKTIF</v>
          </cell>
          <cell r="N150" t="str">
            <v>Perempuan</v>
          </cell>
          <cell r="AE150" t="str">
            <v>S1</v>
          </cell>
          <cell r="AG150" t="str">
            <v>Kedokteran Umum</v>
          </cell>
          <cell r="AW150" t="str">
            <v>PNS</v>
          </cell>
        </row>
        <row r="151">
          <cell r="G151" t="str">
            <v>RESIGN</v>
          </cell>
          <cell r="N151" t="str">
            <v>Laki-Laki</v>
          </cell>
          <cell r="AE151" t="str">
            <v>S1</v>
          </cell>
          <cell r="AG151" t="str">
            <v>Kedokteran Umum</v>
          </cell>
        </row>
        <row r="152">
          <cell r="G152" t="str">
            <v>AKTIF</v>
          </cell>
          <cell r="N152" t="str">
            <v>Perempuan</v>
          </cell>
          <cell r="AE152" t="str">
            <v>S1</v>
          </cell>
          <cell r="AG152" t="str">
            <v>Kedokteran Umum</v>
          </cell>
          <cell r="AW152" t="str">
            <v>PNS</v>
          </cell>
        </row>
        <row r="153">
          <cell r="G153" t="str">
            <v>AKTIF</v>
          </cell>
          <cell r="N153" t="str">
            <v>Perempuan</v>
          </cell>
          <cell r="AE153" t="str">
            <v>S2 + Profesi</v>
          </cell>
          <cell r="AG153" t="str">
            <v>Spesialis Anak</v>
          </cell>
          <cell r="AW153" t="str">
            <v>PNS</v>
          </cell>
        </row>
        <row r="154">
          <cell r="G154" t="str">
            <v>AKTIF</v>
          </cell>
          <cell r="N154" t="str">
            <v>Laki-Laki</v>
          </cell>
          <cell r="AE154" t="str">
            <v>S2 + Profesi</v>
          </cell>
          <cell r="AG154" t="str">
            <v>Spesialis Pulmonologi Dan Kedokteran Respirasi Paru</v>
          </cell>
          <cell r="AW154" t="str">
            <v>PNS</v>
          </cell>
        </row>
        <row r="155">
          <cell r="G155" t="str">
            <v>AKTIF</v>
          </cell>
          <cell r="N155" t="str">
            <v>Laki-Laki</v>
          </cell>
          <cell r="AE155" t="str">
            <v>S1</v>
          </cell>
          <cell r="AG155" t="str">
            <v>Kedokteran Umum</v>
          </cell>
          <cell r="AW155" t="str">
            <v>APBD</v>
          </cell>
        </row>
        <row r="156">
          <cell r="G156" t="str">
            <v>AKTIF</v>
          </cell>
          <cell r="N156" t="str">
            <v>Perempuan</v>
          </cell>
          <cell r="AE156" t="str">
            <v>S2 + Profesi</v>
          </cell>
          <cell r="AG156" t="str">
            <v>Spesialis Pulmonologi Dan Kedokteran Respirasi Paru</v>
          </cell>
          <cell r="AW156" t="str">
            <v>PNS</v>
          </cell>
        </row>
        <row r="157">
          <cell r="G157" t="str">
            <v>AKTIF</v>
          </cell>
          <cell r="N157" t="str">
            <v>Perempuan</v>
          </cell>
          <cell r="AE157" t="str">
            <v>S1</v>
          </cell>
          <cell r="AG157" t="str">
            <v>KEDOKTERAN UMUM</v>
          </cell>
          <cell r="AW157" t="str">
            <v>BLUD</v>
          </cell>
        </row>
        <row r="158">
          <cell r="G158" t="str">
            <v>AKTIF</v>
          </cell>
          <cell r="N158" t="str">
            <v>Perempuan</v>
          </cell>
          <cell r="AE158" t="str">
            <v>S2</v>
          </cell>
          <cell r="AG158" t="str">
            <v>KESEHATAN MASYARAKAT</v>
          </cell>
          <cell r="AW158" t="str">
            <v>PNS</v>
          </cell>
        </row>
        <row r="159">
          <cell r="G159" t="str">
            <v>AKTIF</v>
          </cell>
          <cell r="N159" t="str">
            <v>Perempuan</v>
          </cell>
          <cell r="AE159" t="str">
            <v>S1</v>
          </cell>
          <cell r="AG159" t="str">
            <v>Kedokteran Umum</v>
          </cell>
          <cell r="AW159" t="str">
            <v>PNS</v>
          </cell>
        </row>
        <row r="160">
          <cell r="G160" t="str">
            <v>AKTIF</v>
          </cell>
          <cell r="N160" t="str">
            <v>Perempuan</v>
          </cell>
          <cell r="AE160" t="str">
            <v>S1</v>
          </cell>
          <cell r="AG160" t="str">
            <v>Kedokteran Umum</v>
          </cell>
          <cell r="AW160" t="str">
            <v>PNS</v>
          </cell>
        </row>
        <row r="161">
          <cell r="G161" t="str">
            <v>AKTIF</v>
          </cell>
          <cell r="N161" t="str">
            <v>Perempuan</v>
          </cell>
          <cell r="AE161" t="str">
            <v>S1</v>
          </cell>
          <cell r="AG161" t="str">
            <v>Kedokteran Umum</v>
          </cell>
          <cell r="AW161" t="str">
            <v>APBD</v>
          </cell>
        </row>
        <row r="162">
          <cell r="G162" t="str">
            <v>AKTIF</v>
          </cell>
          <cell r="N162" t="str">
            <v>Perempuan</v>
          </cell>
          <cell r="AE162" t="str">
            <v>S2 + Profesi</v>
          </cell>
          <cell r="AG162" t="str">
            <v>Spesialis Mata</v>
          </cell>
          <cell r="AW162" t="str">
            <v>PNS</v>
          </cell>
        </row>
        <row r="163">
          <cell r="G163" t="str">
            <v>AKTIF</v>
          </cell>
          <cell r="N163" t="str">
            <v>Laki-Laki</v>
          </cell>
          <cell r="AE163" t="str">
            <v>S2 + Profesi</v>
          </cell>
          <cell r="AG163" t="str">
            <v>SPESIALIS ANASTESIOLOGI DAN TERAPI INTENSIF</v>
          </cell>
          <cell r="AW163" t="str">
            <v>PNS</v>
          </cell>
        </row>
        <row r="164">
          <cell r="G164" t="str">
            <v>AKTIF</v>
          </cell>
          <cell r="N164" t="str">
            <v>Perempuan</v>
          </cell>
          <cell r="AE164" t="str">
            <v>S1</v>
          </cell>
          <cell r="AG164" t="str">
            <v>Kedokteran Umum</v>
          </cell>
          <cell r="AW164" t="str">
            <v>PNS</v>
          </cell>
        </row>
        <row r="165">
          <cell r="G165" t="str">
            <v>AKTIF</v>
          </cell>
          <cell r="N165" t="str">
            <v>Perempuan</v>
          </cell>
          <cell r="AE165" t="str">
            <v>S2 + Profesi</v>
          </cell>
          <cell r="AG165" t="str">
            <v>Spesialis Gizi Klinik</v>
          </cell>
          <cell r="AW165" t="str">
            <v>APBD</v>
          </cell>
        </row>
        <row r="166">
          <cell r="G166" t="str">
            <v>AKTIF</v>
          </cell>
          <cell r="N166" t="str">
            <v>Perempuan</v>
          </cell>
          <cell r="AE166" t="str">
            <v>S1</v>
          </cell>
          <cell r="AG166" t="str">
            <v>Kedokteran Umum</v>
          </cell>
          <cell r="AW166" t="str">
            <v>APBD</v>
          </cell>
        </row>
        <row r="167">
          <cell r="G167" t="str">
            <v>RESIGN</v>
          </cell>
          <cell r="N167" t="str">
            <v>Laki-Laki</v>
          </cell>
          <cell r="AE167" t="str">
            <v>S1</v>
          </cell>
          <cell r="AG167" t="str">
            <v>Kedokteran Umum</v>
          </cell>
        </row>
        <row r="168">
          <cell r="G168" t="str">
            <v>AKTIF</v>
          </cell>
          <cell r="N168" t="str">
            <v>Laki-Laki</v>
          </cell>
          <cell r="AE168" t="str">
            <v>S2 + Profesi</v>
          </cell>
          <cell r="AG168" t="str">
            <v>Spesialis Penyakit Dalam</v>
          </cell>
          <cell r="AW168" t="str">
            <v>PNS</v>
          </cell>
        </row>
        <row r="169">
          <cell r="G169" t="str">
            <v>AKTIF</v>
          </cell>
          <cell r="N169" t="str">
            <v>Perempuan</v>
          </cell>
          <cell r="AE169" t="str">
            <v>S2 + Profesi</v>
          </cell>
          <cell r="AG169" t="str">
            <v>SPESIALIS ANASTESIOLOGI DAN TERAPI INTENSIF</v>
          </cell>
          <cell r="AW169" t="str">
            <v>PNS</v>
          </cell>
        </row>
        <row r="170">
          <cell r="G170" t="str">
            <v>AKTIF</v>
          </cell>
          <cell r="N170" t="str">
            <v>Perempuan</v>
          </cell>
          <cell r="AE170" t="str">
            <v>S1</v>
          </cell>
          <cell r="AG170" t="str">
            <v>Kedokteran Umum</v>
          </cell>
          <cell r="AW170" t="str">
            <v>PNS</v>
          </cell>
        </row>
        <row r="171">
          <cell r="G171" t="str">
            <v>AKTIF</v>
          </cell>
          <cell r="N171" t="str">
            <v>Laki-Laki</v>
          </cell>
          <cell r="AE171" t="str">
            <v>S2 + Profesi</v>
          </cell>
          <cell r="AG171" t="str">
            <v>Spesialis Kedokteran Jiwa Atau Psikiatri</v>
          </cell>
          <cell r="AW171" t="str">
            <v>PNS</v>
          </cell>
        </row>
        <row r="172">
          <cell r="G172" t="str">
            <v>AKTIF</v>
          </cell>
          <cell r="N172" t="str">
            <v>Laki-Laki</v>
          </cell>
          <cell r="AE172" t="str">
            <v>S2 + Profesi</v>
          </cell>
          <cell r="AG172" t="str">
            <v>Spesialis Bedah Urologi</v>
          </cell>
          <cell r="AW172" t="str">
            <v>APBD</v>
          </cell>
        </row>
        <row r="173">
          <cell r="G173" t="str">
            <v>AKTIF</v>
          </cell>
          <cell r="N173" t="str">
            <v>Perempuan</v>
          </cell>
          <cell r="AE173" t="str">
            <v>S1</v>
          </cell>
          <cell r="AG173" t="str">
            <v>Kedokteran Umum</v>
          </cell>
          <cell r="AW173" t="str">
            <v>PNS</v>
          </cell>
        </row>
        <row r="174">
          <cell r="G174" t="str">
            <v>AKTIF</v>
          </cell>
          <cell r="N174" t="str">
            <v>Laki-Laki</v>
          </cell>
          <cell r="AE174" t="str">
            <v>S2 + SUB</v>
          </cell>
          <cell r="AG174" t="str">
            <v>Sub Spesialis Bedah - Bedah Kepala Dan Leher</v>
          </cell>
          <cell r="AW174" t="str">
            <v>PNS</v>
          </cell>
        </row>
        <row r="175">
          <cell r="G175" t="str">
            <v>AKTIF</v>
          </cell>
          <cell r="N175" t="str">
            <v>Perempuan</v>
          </cell>
          <cell r="AE175" t="str">
            <v>S1</v>
          </cell>
          <cell r="AG175" t="str">
            <v>Kedokteran Umum</v>
          </cell>
          <cell r="AW175" t="str">
            <v>PNS</v>
          </cell>
        </row>
        <row r="176">
          <cell r="G176" t="str">
            <v>AKTIF</v>
          </cell>
          <cell r="N176" t="str">
            <v>Perempuan</v>
          </cell>
          <cell r="AE176" t="str">
            <v>S2 + Profesi</v>
          </cell>
          <cell r="AG176" t="str">
            <v>Spesialis Dermatologi Dan Venereologi</v>
          </cell>
          <cell r="AW176" t="str">
            <v>PNS</v>
          </cell>
        </row>
        <row r="177">
          <cell r="G177" t="str">
            <v>AKTIF</v>
          </cell>
          <cell r="N177" t="str">
            <v>Laki-Laki</v>
          </cell>
          <cell r="AE177" t="str">
            <v>S2</v>
          </cell>
          <cell r="AG177" t="str">
            <v>MANAJEMEN RUMAH SAKIT</v>
          </cell>
          <cell r="AW177" t="str">
            <v>APBD</v>
          </cell>
        </row>
        <row r="178">
          <cell r="G178" t="str">
            <v>AKTIF</v>
          </cell>
          <cell r="N178" t="str">
            <v>Laki-Laki</v>
          </cell>
          <cell r="AE178" t="str">
            <v>S2 + Profesi</v>
          </cell>
          <cell r="AG178" t="str">
            <v>Spesialis Patologi Klinik</v>
          </cell>
          <cell r="AW178" t="str">
            <v>PNS</v>
          </cell>
        </row>
        <row r="179">
          <cell r="G179" t="str">
            <v>AKTIF</v>
          </cell>
          <cell r="N179" t="str">
            <v>Laki-Laki</v>
          </cell>
          <cell r="AE179" t="str">
            <v>S2 + Profesi</v>
          </cell>
          <cell r="AG179" t="str">
            <v>Spesialis Obstetri Dan Ginekologi</v>
          </cell>
          <cell r="AW179" t="str">
            <v>PNS</v>
          </cell>
        </row>
        <row r="180">
          <cell r="G180" t="str">
            <v>AKTIF</v>
          </cell>
          <cell r="N180" t="str">
            <v>Laki-Laki</v>
          </cell>
          <cell r="AE180" t="str">
            <v>S2 + Profesi</v>
          </cell>
          <cell r="AG180" t="str">
            <v>SPESIALIS PENYAKIT DALAM</v>
          </cell>
          <cell r="AW180" t="str">
            <v>BLUD</v>
          </cell>
        </row>
        <row r="181">
          <cell r="G181" t="str">
            <v>AKTIF</v>
          </cell>
          <cell r="N181" t="str">
            <v>Laki-Laki</v>
          </cell>
          <cell r="AE181" t="str">
            <v>S2 + Profesi</v>
          </cell>
          <cell r="AG181" t="str">
            <v>SPESIALIS ORTHOPAEDI DAN TRAUMATOLOGI</v>
          </cell>
          <cell r="AW181" t="str">
            <v>PNS</v>
          </cell>
        </row>
        <row r="182">
          <cell r="G182" t="str">
            <v>AKTIF</v>
          </cell>
          <cell r="N182" t="str">
            <v>Laki-Laki</v>
          </cell>
          <cell r="AE182" t="str">
            <v>S1</v>
          </cell>
          <cell r="AG182" t="str">
            <v>Kedokteran Umum</v>
          </cell>
          <cell r="AW182" t="str">
            <v>BLUD</v>
          </cell>
        </row>
        <row r="183">
          <cell r="G183" t="str">
            <v>AKTIF</v>
          </cell>
          <cell r="N183" t="str">
            <v>Laki-Laki</v>
          </cell>
          <cell r="AE183" t="str">
            <v>S1</v>
          </cell>
          <cell r="AG183" t="str">
            <v>Kedokteran Umum</v>
          </cell>
          <cell r="AW183" t="str">
            <v>APBD</v>
          </cell>
        </row>
        <row r="184">
          <cell r="G184" t="str">
            <v>AKTIF</v>
          </cell>
          <cell r="N184" t="str">
            <v>Perempuan</v>
          </cell>
          <cell r="AE184" t="str">
            <v>S2 + Profesi</v>
          </cell>
          <cell r="AG184" t="str">
            <v>Spesialis Anak</v>
          </cell>
          <cell r="AW184" t="str">
            <v>PNS</v>
          </cell>
        </row>
        <row r="185">
          <cell r="G185" t="str">
            <v>AKTIF</v>
          </cell>
          <cell r="N185" t="str">
            <v>Laki-Laki</v>
          </cell>
          <cell r="AE185" t="str">
            <v>S1</v>
          </cell>
          <cell r="AG185" t="str">
            <v>KEDOKTERAN UMUM</v>
          </cell>
          <cell r="AW185" t="str">
            <v>BLUD</v>
          </cell>
        </row>
        <row r="186">
          <cell r="G186" t="str">
            <v>AKTIF</v>
          </cell>
          <cell r="N186" t="str">
            <v>Laki-Laki</v>
          </cell>
          <cell r="AE186" t="str">
            <v>S2 + SUB</v>
          </cell>
          <cell r="AG186" t="str">
            <v>Sub Spesialis Penyakit Dalam-Gastroenterohepatologi</v>
          </cell>
          <cell r="AW186" t="str">
            <v>APBD</v>
          </cell>
        </row>
        <row r="187">
          <cell r="G187" t="str">
            <v>AKTIF</v>
          </cell>
          <cell r="N187" t="str">
            <v>Perempuan</v>
          </cell>
          <cell r="AE187" t="str">
            <v>S2 + Profesi</v>
          </cell>
          <cell r="AG187" t="str">
            <v>Spesialis Anak</v>
          </cell>
          <cell r="AW187" t="str">
            <v>PNS</v>
          </cell>
        </row>
        <row r="188">
          <cell r="G188" t="str">
            <v>AKTIF</v>
          </cell>
          <cell r="N188" t="str">
            <v>Perempuan</v>
          </cell>
          <cell r="AE188" t="str">
            <v>S2</v>
          </cell>
          <cell r="AG188" t="str">
            <v>KESEHATAN MASYARAKAT</v>
          </cell>
          <cell r="AW188" t="str">
            <v>PNS</v>
          </cell>
        </row>
        <row r="189">
          <cell r="G189" t="str">
            <v>AKTIF</v>
          </cell>
          <cell r="N189" t="str">
            <v>Laki-Laki</v>
          </cell>
          <cell r="AE189" t="str">
            <v>S2 + Profesi</v>
          </cell>
          <cell r="AG189" t="str">
            <v>Spesialis Penyakit Dalam</v>
          </cell>
          <cell r="AW189" t="str">
            <v>PNS</v>
          </cell>
        </row>
        <row r="190">
          <cell r="G190" t="str">
            <v>AKTIF</v>
          </cell>
          <cell r="N190" t="str">
            <v>Perempuan</v>
          </cell>
          <cell r="AE190" t="str">
            <v>S2 + Profesi</v>
          </cell>
          <cell r="AG190" t="str">
            <v>Spesialis Telinga Hidung Tenggorok</v>
          </cell>
          <cell r="AW190" t="str">
            <v>PNS</v>
          </cell>
        </row>
        <row r="191">
          <cell r="G191" t="str">
            <v>AKTIF</v>
          </cell>
          <cell r="N191" t="str">
            <v>Perempuan</v>
          </cell>
          <cell r="AE191" t="str">
            <v>S1</v>
          </cell>
          <cell r="AG191" t="str">
            <v>KEDOKTERAN UMUM</v>
          </cell>
          <cell r="AW191" t="str">
            <v>BLUD</v>
          </cell>
        </row>
        <row r="192">
          <cell r="G192" t="str">
            <v>AKTIF</v>
          </cell>
          <cell r="N192" t="str">
            <v>Perempuan</v>
          </cell>
          <cell r="AE192" t="str">
            <v>S1</v>
          </cell>
          <cell r="AG192" t="str">
            <v>Kedokteran Umum</v>
          </cell>
          <cell r="AW192" t="str">
            <v>PNS</v>
          </cell>
        </row>
        <row r="193">
          <cell r="G193" t="str">
            <v>AKTIF</v>
          </cell>
          <cell r="N193" t="str">
            <v>Perempuan</v>
          </cell>
          <cell r="AE193" t="str">
            <v>S2 + Profesi</v>
          </cell>
          <cell r="AG193" t="str">
            <v>Spesialis Jantung Dan Pembuluh Darah</v>
          </cell>
          <cell r="AW193" t="str">
            <v>PNS</v>
          </cell>
        </row>
        <row r="194">
          <cell r="G194" t="str">
            <v>AKTIF</v>
          </cell>
          <cell r="N194" t="str">
            <v>Perempuan</v>
          </cell>
          <cell r="AE194" t="str">
            <v>S2 + Profesi</v>
          </cell>
          <cell r="AG194" t="str">
            <v>Spesialis Neurologi</v>
          </cell>
          <cell r="AW194" t="str">
            <v>PNS</v>
          </cell>
        </row>
        <row r="195">
          <cell r="G195" t="str">
            <v>AKTIF</v>
          </cell>
          <cell r="N195" t="str">
            <v>Perempuan</v>
          </cell>
          <cell r="AE195" t="str">
            <v>S1</v>
          </cell>
          <cell r="AG195" t="str">
            <v>Kedokteran Umum</v>
          </cell>
          <cell r="AW195" t="str">
            <v>APBD</v>
          </cell>
        </row>
        <row r="196">
          <cell r="G196" t="str">
            <v>AKTIF</v>
          </cell>
          <cell r="N196" t="str">
            <v>Laki-Laki</v>
          </cell>
          <cell r="AE196" t="str">
            <v>S1</v>
          </cell>
          <cell r="AG196" t="str">
            <v>KEDOKTERAN UMUM</v>
          </cell>
          <cell r="AW196" t="str">
            <v>BLUD</v>
          </cell>
        </row>
        <row r="197">
          <cell r="G197" t="str">
            <v>AKTIF</v>
          </cell>
          <cell r="N197" t="str">
            <v>Laki-Laki</v>
          </cell>
          <cell r="AE197" t="str">
            <v>S2 + Profesi</v>
          </cell>
          <cell r="AG197" t="str">
            <v>Spesialis Obstetri Dan Ginekologi</v>
          </cell>
          <cell r="AW197" t="str">
            <v>APBD</v>
          </cell>
        </row>
        <row r="198">
          <cell r="G198" t="str">
            <v>AKTIF</v>
          </cell>
          <cell r="N198" t="str">
            <v>Laki-Laki</v>
          </cell>
          <cell r="AE198" t="str">
            <v>S2 + Profesi</v>
          </cell>
          <cell r="AG198" t="str">
            <v>Spesialis Bedah</v>
          </cell>
          <cell r="AW198" t="str">
            <v>APBD</v>
          </cell>
        </row>
        <row r="199">
          <cell r="G199" t="str">
            <v>AKTIF</v>
          </cell>
          <cell r="N199" t="str">
            <v>Laki-Laki</v>
          </cell>
          <cell r="AE199" t="str">
            <v>S2 + Profesi</v>
          </cell>
          <cell r="AG199" t="str">
            <v>Spesialis Pulmonologi Dan Kedokteran Respirasi Paru</v>
          </cell>
          <cell r="AW199" t="str">
            <v>APBD</v>
          </cell>
        </row>
        <row r="200">
          <cell r="G200" t="str">
            <v>AKTIF</v>
          </cell>
          <cell r="N200" t="str">
            <v>Perempuan</v>
          </cell>
          <cell r="AE200" t="str">
            <v>S1</v>
          </cell>
          <cell r="AG200" t="str">
            <v>Kedokteran Umum</v>
          </cell>
          <cell r="AW200" t="str">
            <v>APBD</v>
          </cell>
        </row>
        <row r="201">
          <cell r="G201" t="str">
            <v>AKTIF</v>
          </cell>
          <cell r="N201" t="str">
            <v>Laki-Laki</v>
          </cell>
          <cell r="AE201" t="str">
            <v>S2 + Profesi</v>
          </cell>
          <cell r="AG201" t="str">
            <v>SPESIALIS ANASTESIOLOGI DAN TERAPI INTENSIF</v>
          </cell>
          <cell r="AW201" t="str">
            <v>APBD</v>
          </cell>
        </row>
        <row r="202">
          <cell r="G202" t="str">
            <v>AKTIF</v>
          </cell>
          <cell r="N202" t="str">
            <v>Perempuan</v>
          </cell>
          <cell r="AE202" t="str">
            <v>S2 + Profesi</v>
          </cell>
          <cell r="AG202" t="str">
            <v>Spesialis Patologi Anatomi</v>
          </cell>
          <cell r="AW202" t="str">
            <v>PNS</v>
          </cell>
        </row>
        <row r="203">
          <cell r="G203" t="str">
            <v>AKTIF</v>
          </cell>
          <cell r="N203" t="str">
            <v>Perempuan</v>
          </cell>
          <cell r="AE203" t="str">
            <v>S1</v>
          </cell>
          <cell r="AG203" t="str">
            <v>Kedokteran Umum</v>
          </cell>
          <cell r="AW203" t="str">
            <v>APBD</v>
          </cell>
        </row>
        <row r="204">
          <cell r="G204" t="str">
            <v>AKTIF</v>
          </cell>
          <cell r="N204" t="str">
            <v>Perempuan</v>
          </cell>
          <cell r="AE204" t="str">
            <v>S2 + Profesi</v>
          </cell>
          <cell r="AG204" t="str">
            <v>Spesialis Kedokteran Jiwa Atau Psikiatri</v>
          </cell>
          <cell r="AW204" t="str">
            <v>PNS</v>
          </cell>
        </row>
        <row r="205">
          <cell r="G205" t="str">
            <v>RESIGN</v>
          </cell>
          <cell r="N205" t="str">
            <v>Perempuan</v>
          </cell>
          <cell r="AE205" t="str">
            <v>S1</v>
          </cell>
          <cell r="AG205" t="str">
            <v>Kedokteran Umum</v>
          </cell>
        </row>
        <row r="206">
          <cell r="G206" t="str">
            <v>AKTIF</v>
          </cell>
          <cell r="N206" t="str">
            <v>Perempuan</v>
          </cell>
          <cell r="AE206" t="str">
            <v>S2 + Profesi</v>
          </cell>
          <cell r="AG206" t="str">
            <v>Spesialis Patologi Klinik</v>
          </cell>
          <cell r="AW206" t="str">
            <v>PNS</v>
          </cell>
        </row>
        <row r="207">
          <cell r="G207" t="str">
            <v>AKTIF</v>
          </cell>
          <cell r="N207" t="str">
            <v>Perempuan</v>
          </cell>
          <cell r="AE207" t="str">
            <v>S1</v>
          </cell>
          <cell r="AG207" t="str">
            <v>KEDOKTERAN UMUM</v>
          </cell>
          <cell r="AW207" t="str">
            <v>BLUD</v>
          </cell>
        </row>
        <row r="208">
          <cell r="G208" t="str">
            <v>AKTIF</v>
          </cell>
          <cell r="N208" t="str">
            <v>Laki-Laki</v>
          </cell>
          <cell r="AE208" t="str">
            <v>S2 + Profesi</v>
          </cell>
          <cell r="AG208" t="str">
            <v>Spesialis Bedah</v>
          </cell>
          <cell r="AW208" t="str">
            <v>PNS</v>
          </cell>
        </row>
        <row r="209">
          <cell r="G209" t="str">
            <v>AKTIF</v>
          </cell>
          <cell r="N209" t="str">
            <v>Laki-Laki</v>
          </cell>
          <cell r="AE209" t="str">
            <v>S2 + Profesi</v>
          </cell>
          <cell r="AG209" t="str">
            <v>Spesialis Neurologi</v>
          </cell>
          <cell r="AW209" t="str">
            <v>PNS</v>
          </cell>
        </row>
        <row r="210">
          <cell r="G210" t="str">
            <v>AKTIF</v>
          </cell>
          <cell r="N210" t="str">
            <v>Laki-Laki</v>
          </cell>
          <cell r="AE210" t="str">
            <v>S1</v>
          </cell>
          <cell r="AG210" t="str">
            <v>Kedokteran Umum</v>
          </cell>
          <cell r="AW210" t="str">
            <v>BLUD</v>
          </cell>
        </row>
        <row r="211">
          <cell r="G211" t="str">
            <v>AKTIF</v>
          </cell>
          <cell r="N211" t="str">
            <v>Perempuan</v>
          </cell>
          <cell r="AE211" t="str">
            <v>S2 + Profesi</v>
          </cell>
          <cell r="AG211" t="str">
            <v>Spesialis Patologi Klinik</v>
          </cell>
          <cell r="AW211" t="str">
            <v>PNS</v>
          </cell>
        </row>
        <row r="212">
          <cell r="G212" t="str">
            <v>AKTIF</v>
          </cell>
          <cell r="N212" t="str">
            <v>Laki-Laki</v>
          </cell>
          <cell r="AE212" t="str">
            <v>S2 + Profesi</v>
          </cell>
          <cell r="AG212" t="str">
            <v>Spesialis Obstetri Dan Ginekologi</v>
          </cell>
          <cell r="AW212" t="str">
            <v>APBD</v>
          </cell>
        </row>
        <row r="213">
          <cell r="G213" t="str">
            <v>AKTIF</v>
          </cell>
          <cell r="N213" t="str">
            <v>Laki-Laki</v>
          </cell>
          <cell r="AE213" t="str">
            <v>S2 + Profesi</v>
          </cell>
          <cell r="AG213" t="str">
            <v>Spesialis Orthopaedi Dan Traumatologi</v>
          </cell>
          <cell r="AW213" t="str">
            <v>APBD</v>
          </cell>
        </row>
        <row r="214">
          <cell r="G214" t="str">
            <v>AKTIF</v>
          </cell>
          <cell r="N214" t="str">
            <v>Perempuan</v>
          </cell>
          <cell r="AE214" t="str">
            <v>S2 + Profesi</v>
          </cell>
          <cell r="AG214" t="str">
            <v>Spesialis Farmakologi Klinik</v>
          </cell>
          <cell r="AW214" t="str">
            <v>APBD</v>
          </cell>
        </row>
        <row r="215">
          <cell r="G215" t="str">
            <v>AKTIF</v>
          </cell>
          <cell r="N215" t="str">
            <v>Laki-Laki</v>
          </cell>
          <cell r="AE215" t="str">
            <v>S2 + Profesi</v>
          </cell>
          <cell r="AG215" t="str">
            <v>Spesialis Patologi Anatomi</v>
          </cell>
          <cell r="AW215" t="str">
            <v>PNS</v>
          </cell>
        </row>
        <row r="216">
          <cell r="G216" t="str">
            <v>AKTIF</v>
          </cell>
          <cell r="N216" t="str">
            <v>Perempuan</v>
          </cell>
          <cell r="AE216" t="str">
            <v>S2</v>
          </cell>
          <cell r="AG216" t="str">
            <v>KESEHATAN MASYARAKAT</v>
          </cell>
          <cell r="AW216" t="str">
            <v>BLUD</v>
          </cell>
        </row>
        <row r="217">
          <cell r="G217" t="str">
            <v>AKTIF</v>
          </cell>
          <cell r="N217" t="str">
            <v>Perempuan</v>
          </cell>
          <cell r="AE217" t="str">
            <v>S2 + Profesi</v>
          </cell>
          <cell r="AG217" t="str">
            <v>Spesialis Telinga Hidung Tenggorok</v>
          </cell>
          <cell r="AW217" t="str">
            <v>PNS</v>
          </cell>
        </row>
        <row r="218">
          <cell r="G218" t="str">
            <v>AKTIF</v>
          </cell>
          <cell r="N218" t="str">
            <v>Perempuan</v>
          </cell>
          <cell r="AE218" t="str">
            <v>S2 + Profesi</v>
          </cell>
          <cell r="AG218" t="str">
            <v>Spesialis Jantung Dan Pembuluh Darah</v>
          </cell>
          <cell r="AW218" t="str">
            <v>APBD</v>
          </cell>
        </row>
        <row r="219">
          <cell r="G219" t="str">
            <v>AKTIF</v>
          </cell>
          <cell r="N219" t="str">
            <v>Perempuan</v>
          </cell>
          <cell r="AE219" t="str">
            <v>S2 + SUB</v>
          </cell>
          <cell r="AG219" t="str">
            <v>Sub Spesialis Telinga Hidung Tenggorok - Rhinologi</v>
          </cell>
          <cell r="AW219" t="str">
            <v>APBD</v>
          </cell>
        </row>
        <row r="220">
          <cell r="G220" t="str">
            <v>AKTIF</v>
          </cell>
          <cell r="N220" t="str">
            <v>Perempuan</v>
          </cell>
          <cell r="AE220" t="str">
            <v>S2 + Profesi</v>
          </cell>
          <cell r="AG220" t="str">
            <v>Spesialis Anak</v>
          </cell>
          <cell r="AW220" t="str">
            <v>APBD</v>
          </cell>
        </row>
        <row r="221">
          <cell r="G221" t="str">
            <v>AKTIF</v>
          </cell>
          <cell r="N221" t="str">
            <v>Perempuan</v>
          </cell>
          <cell r="AE221" t="str">
            <v>S2 + Profesi</v>
          </cell>
          <cell r="AG221" t="str">
            <v>Spesialis Dermatologi Dan Venereologi</v>
          </cell>
          <cell r="AW221" t="str">
            <v>PNS</v>
          </cell>
        </row>
        <row r="222">
          <cell r="G222" t="str">
            <v>AKTIF</v>
          </cell>
          <cell r="N222" t="str">
            <v>Perempuan</v>
          </cell>
          <cell r="AE222" t="str">
            <v>S1</v>
          </cell>
          <cell r="AG222" t="str">
            <v>Kedokteran Umum</v>
          </cell>
          <cell r="AW222" t="str">
            <v>APBD</v>
          </cell>
        </row>
        <row r="223">
          <cell r="G223" t="str">
            <v>AKTIF</v>
          </cell>
          <cell r="N223" t="str">
            <v>Perempuan</v>
          </cell>
          <cell r="AE223" t="str">
            <v>S2 + Profesi</v>
          </cell>
          <cell r="AG223" t="str">
            <v>Spesialis Penyakit Dalam</v>
          </cell>
          <cell r="AW223" t="str">
            <v>BLUD</v>
          </cell>
        </row>
        <row r="224">
          <cell r="G224" t="str">
            <v>PENSIUN</v>
          </cell>
          <cell r="N224" t="str">
            <v>Laki-Laki</v>
          </cell>
          <cell r="AE224" t="str">
            <v>S2 + Profesi</v>
          </cell>
          <cell r="AG224" t="str">
            <v>Spesialis Mata</v>
          </cell>
          <cell r="AW224" t="str">
            <v>PNS</v>
          </cell>
        </row>
        <row r="225">
          <cell r="G225" t="str">
            <v>AKTIF</v>
          </cell>
          <cell r="N225" t="str">
            <v>Laki-Laki</v>
          </cell>
          <cell r="AE225" t="str">
            <v>S2 + Profesi</v>
          </cell>
          <cell r="AG225" t="str">
            <v>Spesialis Patologi Klinik</v>
          </cell>
          <cell r="AW225" t="str">
            <v>PNS</v>
          </cell>
        </row>
        <row r="226">
          <cell r="G226" t="str">
            <v>AKTIF</v>
          </cell>
          <cell r="N226" t="str">
            <v>Laki-Laki</v>
          </cell>
          <cell r="AE226" t="str">
            <v>S2 + Profesi</v>
          </cell>
          <cell r="AG226" t="str">
            <v>Spesialis Bedah Plastik Rekonstruksi Dan Estetis</v>
          </cell>
          <cell r="AW226" t="str">
            <v>APBD</v>
          </cell>
        </row>
        <row r="227">
          <cell r="G227" t="str">
            <v>RESIGN</v>
          </cell>
          <cell r="N227" t="str">
            <v>Laki-Laki</v>
          </cell>
          <cell r="AE227" t="str">
            <v>S1</v>
          </cell>
          <cell r="AG227" t="str">
            <v>Kedokteran Umum</v>
          </cell>
        </row>
        <row r="228">
          <cell r="G228" t="str">
            <v>RESIGN</v>
          </cell>
          <cell r="N228" t="str">
            <v>Laki-Laki</v>
          </cell>
          <cell r="AE228" t="str">
            <v>S1</v>
          </cell>
          <cell r="AG228" t="str">
            <v>Kedokteran Umum</v>
          </cell>
        </row>
        <row r="229">
          <cell r="G229" t="str">
            <v>AKTIF</v>
          </cell>
          <cell r="N229" t="str">
            <v>Perempuan</v>
          </cell>
          <cell r="AE229" t="str">
            <v>S1</v>
          </cell>
          <cell r="AG229" t="str">
            <v>Kedokteran Umum</v>
          </cell>
          <cell r="AW229" t="str">
            <v>APBD</v>
          </cell>
        </row>
        <row r="230">
          <cell r="G230" t="str">
            <v>AKTIF</v>
          </cell>
          <cell r="N230" t="str">
            <v>Perempuan</v>
          </cell>
          <cell r="AE230" t="str">
            <v>S2 + Profesi</v>
          </cell>
          <cell r="AG230" t="str">
            <v>Spesialis Anak</v>
          </cell>
          <cell r="AW230" t="str">
            <v>PNS</v>
          </cell>
        </row>
        <row r="231">
          <cell r="G231" t="str">
            <v>AKTIF</v>
          </cell>
          <cell r="N231" t="str">
            <v>Laki-Laki</v>
          </cell>
          <cell r="AE231" t="str">
            <v>S2 + Profesi</v>
          </cell>
          <cell r="AG231" t="str">
            <v>SPESIALIS BEDAH</v>
          </cell>
          <cell r="AW231" t="str">
            <v>PNS</v>
          </cell>
        </row>
        <row r="232">
          <cell r="G232" t="str">
            <v>AKTIF</v>
          </cell>
          <cell r="N232" t="str">
            <v>Perempuan</v>
          </cell>
          <cell r="AE232" t="str">
            <v>S1</v>
          </cell>
          <cell r="AG232" t="str">
            <v>Kedokteran Umum</v>
          </cell>
          <cell r="AW232" t="str">
            <v>BLUD</v>
          </cell>
        </row>
        <row r="233">
          <cell r="G233" t="str">
            <v>AKTIF</v>
          </cell>
          <cell r="N233" t="str">
            <v>Laki-Laki</v>
          </cell>
          <cell r="AE233" t="str">
            <v>S2 + Profesi</v>
          </cell>
          <cell r="AG233" t="str">
            <v>Spesialis Orthopaedi Dan Traumatologi</v>
          </cell>
          <cell r="AW233" t="str">
            <v>APBD</v>
          </cell>
        </row>
        <row r="234">
          <cell r="G234" t="str">
            <v>AKTIF</v>
          </cell>
          <cell r="N234" t="str">
            <v>Laki-Laki</v>
          </cell>
          <cell r="AE234" t="str">
            <v>S2 + Profesi</v>
          </cell>
          <cell r="AG234" t="str">
            <v>Spesialis Penyakit Dalam</v>
          </cell>
          <cell r="AW234" t="str">
            <v>PNS</v>
          </cell>
        </row>
        <row r="235">
          <cell r="G235" t="str">
            <v>AKTIF</v>
          </cell>
          <cell r="N235" t="str">
            <v>Laki-Laki</v>
          </cell>
          <cell r="AE235" t="str">
            <v>S2 + SUB</v>
          </cell>
          <cell r="AG235" t="str">
            <v>Sub Spesialis Bedah-Bedah Digestif</v>
          </cell>
          <cell r="AW235" t="str">
            <v>APBD</v>
          </cell>
        </row>
        <row r="236">
          <cell r="G236" t="str">
            <v>AKTIF</v>
          </cell>
          <cell r="N236" t="str">
            <v>Perempuan</v>
          </cell>
          <cell r="AE236" t="str">
            <v>S2 + Profesi</v>
          </cell>
          <cell r="AG236" t="str">
            <v>Spesialis Jantung Dan Pembuluh Darah</v>
          </cell>
          <cell r="AW236" t="str">
            <v>APBD</v>
          </cell>
        </row>
        <row r="237">
          <cell r="G237" t="str">
            <v>AKTIF</v>
          </cell>
          <cell r="N237" t="str">
            <v>Laki-Laki</v>
          </cell>
          <cell r="AE237" t="str">
            <v>S2 + Profesi</v>
          </cell>
          <cell r="AG237" t="str">
            <v>Spesialis Jantung Dan Pembuluh Darah</v>
          </cell>
          <cell r="AW237" t="str">
            <v>PNS</v>
          </cell>
        </row>
        <row r="238">
          <cell r="G238" t="str">
            <v>AKTIF</v>
          </cell>
          <cell r="N238" t="str">
            <v>Perempuan</v>
          </cell>
          <cell r="AE238" t="str">
            <v>S2 + Profesi</v>
          </cell>
          <cell r="AG238" t="str">
            <v>Spesialis Telinga Hidung Tenggorok</v>
          </cell>
          <cell r="AW238" t="str">
            <v>PNS</v>
          </cell>
        </row>
        <row r="239">
          <cell r="G239" t="str">
            <v>AKTIF</v>
          </cell>
          <cell r="N239" t="str">
            <v>Laki-Laki</v>
          </cell>
          <cell r="AE239" t="str">
            <v>S2 + Profesi</v>
          </cell>
          <cell r="AG239" t="str">
            <v>Spesialis Prostodonsia</v>
          </cell>
          <cell r="AW239" t="str">
            <v>PNS</v>
          </cell>
        </row>
        <row r="240">
          <cell r="G240" t="str">
            <v>AKTIF</v>
          </cell>
          <cell r="N240" t="str">
            <v>Perempuan</v>
          </cell>
          <cell r="AE240" t="str">
            <v>S1</v>
          </cell>
          <cell r="AG240" t="str">
            <v>KEDOKTERAN GIGI UMUM</v>
          </cell>
          <cell r="AW240" t="str">
            <v>PNS</v>
          </cell>
        </row>
        <row r="241">
          <cell r="G241" t="str">
            <v>AKTIF</v>
          </cell>
          <cell r="N241" t="str">
            <v>Perempuan</v>
          </cell>
          <cell r="AE241" t="str">
            <v>S1</v>
          </cell>
          <cell r="AG241" t="str">
            <v>KEDOKTERAN GIGI UMUM</v>
          </cell>
          <cell r="AW241" t="str">
            <v>PNS</v>
          </cell>
        </row>
        <row r="242">
          <cell r="G242" t="str">
            <v>AKTIF</v>
          </cell>
          <cell r="N242" t="str">
            <v>Perempuan</v>
          </cell>
          <cell r="AE242" t="str">
            <v>S2 + Profesi</v>
          </cell>
          <cell r="AG242" t="str">
            <v>Spesialis Konservasi Gigi</v>
          </cell>
          <cell r="AW242" t="str">
            <v>PNS</v>
          </cell>
        </row>
        <row r="243">
          <cell r="G243" t="str">
            <v>MUTASI</v>
          </cell>
          <cell r="N243" t="str">
            <v>Perempuan</v>
          </cell>
          <cell r="AE243" t="str">
            <v>S2 + Profesi</v>
          </cell>
          <cell r="AG243" t="str">
            <v>Spesialis Konservasi Gigi</v>
          </cell>
        </row>
        <row r="244">
          <cell r="G244" t="str">
            <v>AKTIF</v>
          </cell>
          <cell r="N244" t="str">
            <v>Laki-Laki</v>
          </cell>
          <cell r="AE244" t="str">
            <v>S2 + Profesi</v>
          </cell>
          <cell r="AG244" t="str">
            <v>Spesialis Bedah Mulut Dan Maksilofasial</v>
          </cell>
          <cell r="AW244" t="str">
            <v>APBD</v>
          </cell>
        </row>
        <row r="245">
          <cell r="G245" t="str">
            <v>AKTIF</v>
          </cell>
          <cell r="N245" t="str">
            <v>Perempuan</v>
          </cell>
          <cell r="AE245" t="str">
            <v>S2 + Profesi</v>
          </cell>
          <cell r="AG245" t="str">
            <v>Spesialis Prostodonsia</v>
          </cell>
          <cell r="AW245" t="str">
            <v>PNS</v>
          </cell>
        </row>
        <row r="246">
          <cell r="G246" t="str">
            <v>PENSIUN</v>
          </cell>
          <cell r="N246" t="str">
            <v>Laki-Laki</v>
          </cell>
          <cell r="AE246" t="str">
            <v>S2 + Profesi</v>
          </cell>
          <cell r="AG246" t="str">
            <v>Spesialis Ortodonsia</v>
          </cell>
          <cell r="AW246" t="str">
            <v>PNS</v>
          </cell>
        </row>
        <row r="247">
          <cell r="G247" t="str">
            <v>AKTIF</v>
          </cell>
          <cell r="N247" t="str">
            <v>Perempuan</v>
          </cell>
          <cell r="AE247" t="str">
            <v>S1</v>
          </cell>
          <cell r="AG247" t="str">
            <v>TEKNIK INFORMATIKA</v>
          </cell>
          <cell r="AW247" t="str">
            <v>APBD</v>
          </cell>
        </row>
        <row r="248">
          <cell r="G248" t="str">
            <v>AKTIF</v>
          </cell>
          <cell r="N248" t="str">
            <v>Perempuan</v>
          </cell>
          <cell r="AE248" t="str">
            <v>S1 + Profesi</v>
          </cell>
          <cell r="AG248" t="str">
            <v>NERS</v>
          </cell>
          <cell r="AW248" t="str">
            <v>APBD</v>
          </cell>
        </row>
        <row r="249">
          <cell r="G249" t="str">
            <v>AKTIF</v>
          </cell>
          <cell r="N249" t="str">
            <v>Perempuan</v>
          </cell>
          <cell r="AE249" t="str">
            <v>S1</v>
          </cell>
          <cell r="AG249" t="str">
            <v>KEBIDANAN</v>
          </cell>
          <cell r="AW249" t="str">
            <v>PNS</v>
          </cell>
        </row>
        <row r="250">
          <cell r="G250" t="str">
            <v>AKTIF</v>
          </cell>
          <cell r="N250" t="str">
            <v>Perempuan</v>
          </cell>
          <cell r="AE250" t="str">
            <v>D3</v>
          </cell>
          <cell r="AG250" t="str">
            <v>ANALIS KESEHATAN</v>
          </cell>
          <cell r="AW250" t="str">
            <v>APBD</v>
          </cell>
        </row>
        <row r="251">
          <cell r="G251" t="str">
            <v>AKTIF</v>
          </cell>
          <cell r="N251" t="str">
            <v>Laki-Laki</v>
          </cell>
          <cell r="AE251" t="str">
            <v>D3</v>
          </cell>
          <cell r="AG251" t="str">
            <v>KEPERAWATAN</v>
          </cell>
          <cell r="AW251" t="str">
            <v>APBD</v>
          </cell>
        </row>
        <row r="252">
          <cell r="G252" t="str">
            <v>AKTIF</v>
          </cell>
          <cell r="N252" t="str">
            <v>Laki-Laki</v>
          </cell>
          <cell r="AE252" t="str">
            <v>SMA</v>
          </cell>
          <cell r="AG252" t="str">
            <v>SMK</v>
          </cell>
          <cell r="AW252" t="str">
            <v>BLUD</v>
          </cell>
        </row>
        <row r="253">
          <cell r="G253" t="str">
            <v>AKTIF</v>
          </cell>
          <cell r="N253" t="str">
            <v>Laki-Laki</v>
          </cell>
          <cell r="AE253" t="str">
            <v>D3</v>
          </cell>
          <cell r="AG253" t="str">
            <v>KEPERAWATAN</v>
          </cell>
          <cell r="AW253" t="str">
            <v>PNS</v>
          </cell>
        </row>
        <row r="254">
          <cell r="G254" t="str">
            <v>AKTIF</v>
          </cell>
          <cell r="N254" t="str">
            <v>Perempuan</v>
          </cell>
          <cell r="AE254" t="str">
            <v>S1</v>
          </cell>
          <cell r="AG254" t="str">
            <v>KESEHATAN REPRODUKSI</v>
          </cell>
          <cell r="AW254" t="str">
            <v>APBD</v>
          </cell>
        </row>
        <row r="255">
          <cell r="G255" t="str">
            <v>AKTIF</v>
          </cell>
          <cell r="N255" t="str">
            <v>Perempuan</v>
          </cell>
          <cell r="AE255" t="str">
            <v>D3</v>
          </cell>
          <cell r="AG255" t="str">
            <v>KEBIDANAN</v>
          </cell>
          <cell r="AW255" t="str">
            <v>APBD</v>
          </cell>
        </row>
        <row r="256">
          <cell r="G256" t="str">
            <v>AKTIF</v>
          </cell>
          <cell r="N256" t="str">
            <v>Perempuan</v>
          </cell>
          <cell r="AE256" t="str">
            <v>S1</v>
          </cell>
          <cell r="AG256" t="str">
            <v>AKUTANSI</v>
          </cell>
          <cell r="AW256" t="str">
            <v>APBD</v>
          </cell>
        </row>
        <row r="257">
          <cell r="G257" t="str">
            <v>AKTIF</v>
          </cell>
          <cell r="N257" t="str">
            <v>Perempuan</v>
          </cell>
          <cell r="AE257" t="str">
            <v>S1 + Profesi</v>
          </cell>
          <cell r="AG257" t="str">
            <v>NERS</v>
          </cell>
          <cell r="AW257" t="str">
            <v>APBD</v>
          </cell>
        </row>
        <row r="258">
          <cell r="G258" t="str">
            <v>AKTIF</v>
          </cell>
          <cell r="N258" t="str">
            <v>Laki-Laki</v>
          </cell>
          <cell r="AE258" t="str">
            <v>D3</v>
          </cell>
          <cell r="AG258" t="str">
            <v>KEPERAWATAN</v>
          </cell>
          <cell r="AW258" t="str">
            <v>APBD</v>
          </cell>
        </row>
        <row r="259">
          <cell r="G259" t="str">
            <v>AKTIF</v>
          </cell>
          <cell r="N259" t="str">
            <v>Perempuan</v>
          </cell>
          <cell r="AE259" t="str">
            <v>D3</v>
          </cell>
          <cell r="AG259" t="str">
            <v>GIZI</v>
          </cell>
          <cell r="AW259" t="str">
            <v>PNS</v>
          </cell>
        </row>
        <row r="260">
          <cell r="G260" t="str">
            <v>AKTIF</v>
          </cell>
          <cell r="N260" t="str">
            <v>Laki-Laki</v>
          </cell>
          <cell r="AE260" t="str">
            <v>S1</v>
          </cell>
          <cell r="AG260" t="str">
            <v>PROMOSI KESEHATAN</v>
          </cell>
          <cell r="AW260" t="str">
            <v>PNS</v>
          </cell>
        </row>
        <row r="261">
          <cell r="G261" t="str">
            <v>AKTIF</v>
          </cell>
          <cell r="N261" t="str">
            <v>Perempuan</v>
          </cell>
          <cell r="AE261" t="str">
            <v>S1</v>
          </cell>
          <cell r="AG261" t="str">
            <v>FISIOTERAPI</v>
          </cell>
          <cell r="AW261" t="str">
            <v>PNS</v>
          </cell>
        </row>
        <row r="262">
          <cell r="G262" t="str">
            <v>AKTIF</v>
          </cell>
          <cell r="N262" t="str">
            <v>Perempuan</v>
          </cell>
          <cell r="AE262" t="str">
            <v>D3</v>
          </cell>
          <cell r="AG262" t="str">
            <v>KEBIDANAN</v>
          </cell>
          <cell r="AW262" t="str">
            <v>APBD</v>
          </cell>
        </row>
        <row r="263">
          <cell r="G263" t="str">
            <v>AKTIF</v>
          </cell>
          <cell r="N263" t="str">
            <v>Perempuan</v>
          </cell>
          <cell r="AE263" t="str">
            <v>S1 + Profesi</v>
          </cell>
          <cell r="AG263" t="str">
            <v>NERS</v>
          </cell>
          <cell r="AW263" t="str">
            <v>PNS</v>
          </cell>
        </row>
        <row r="264">
          <cell r="G264" t="str">
            <v>AKTIF</v>
          </cell>
          <cell r="N264" t="str">
            <v>Perempuan</v>
          </cell>
          <cell r="AE264" t="str">
            <v>D3</v>
          </cell>
          <cell r="AG264" t="str">
            <v>KEPERAWATAN</v>
          </cell>
          <cell r="AW264" t="str">
            <v>APBD</v>
          </cell>
        </row>
        <row r="265">
          <cell r="G265" t="str">
            <v>AKTIF</v>
          </cell>
          <cell r="N265" t="str">
            <v>Perempuan</v>
          </cell>
          <cell r="AE265" t="str">
            <v>D3</v>
          </cell>
          <cell r="AG265" t="str">
            <v>TERAPI WICARA</v>
          </cell>
          <cell r="AW265" t="str">
            <v>PNS</v>
          </cell>
        </row>
        <row r="266">
          <cell r="G266" t="str">
            <v>AKTIF</v>
          </cell>
          <cell r="N266" t="str">
            <v>Perempuan</v>
          </cell>
          <cell r="AE266" t="str">
            <v>S1</v>
          </cell>
          <cell r="AG266" t="str">
            <v>MANAJEMEN</v>
          </cell>
          <cell r="AW266" t="str">
            <v>APBD</v>
          </cell>
        </row>
        <row r="267">
          <cell r="G267" t="str">
            <v>AKTIF</v>
          </cell>
          <cell r="N267" t="str">
            <v>Perempuan</v>
          </cell>
          <cell r="AE267" t="str">
            <v>D3</v>
          </cell>
          <cell r="AG267" t="str">
            <v>KEBIDANAN</v>
          </cell>
          <cell r="AW267" t="str">
            <v>APBD</v>
          </cell>
        </row>
        <row r="268">
          <cell r="G268" t="str">
            <v>AKTIF</v>
          </cell>
          <cell r="N268" t="str">
            <v>Perempuan</v>
          </cell>
          <cell r="AE268" t="str">
            <v>S1</v>
          </cell>
          <cell r="AG268" t="str">
            <v>KESEHATAN MASYARAKAT</v>
          </cell>
          <cell r="AW268" t="str">
            <v>PNS</v>
          </cell>
        </row>
        <row r="269">
          <cell r="G269" t="str">
            <v>AKTIF</v>
          </cell>
          <cell r="N269" t="str">
            <v>Perempuan</v>
          </cell>
          <cell r="AE269" t="str">
            <v>D1</v>
          </cell>
          <cell r="AG269" t="str">
            <v>SISTEM INFORMASI</v>
          </cell>
          <cell r="AW269" t="str">
            <v>BLUD</v>
          </cell>
        </row>
        <row r="270">
          <cell r="G270" t="str">
            <v>AKTIF</v>
          </cell>
          <cell r="N270" t="str">
            <v>Perempuan</v>
          </cell>
          <cell r="AE270" t="str">
            <v>S1</v>
          </cell>
          <cell r="AG270" t="str">
            <v>ILMU KESEHATAN MASYARAKAT</v>
          </cell>
          <cell r="AW270" t="str">
            <v>APBD</v>
          </cell>
        </row>
        <row r="271">
          <cell r="G271" t="str">
            <v>AKTIF</v>
          </cell>
          <cell r="N271" t="str">
            <v>Laki-Laki</v>
          </cell>
          <cell r="AE271" t="str">
            <v>S1 + Profesi</v>
          </cell>
          <cell r="AG271" t="str">
            <v>NERS</v>
          </cell>
          <cell r="AW271" t="str">
            <v>BLUD</v>
          </cell>
        </row>
        <row r="272">
          <cell r="G272" t="str">
            <v>AKTIF</v>
          </cell>
          <cell r="N272" t="str">
            <v>Perempuan</v>
          </cell>
          <cell r="AE272" t="str">
            <v>S1 + Profesi</v>
          </cell>
          <cell r="AG272" t="str">
            <v>NERS</v>
          </cell>
          <cell r="AW272" t="str">
            <v>PNS</v>
          </cell>
        </row>
        <row r="273">
          <cell r="G273" t="str">
            <v>AKTIF</v>
          </cell>
          <cell r="N273" t="str">
            <v>Perempuan</v>
          </cell>
          <cell r="AE273" t="str">
            <v>D3</v>
          </cell>
          <cell r="AG273" t="str">
            <v>KEPERAWATAN</v>
          </cell>
          <cell r="AW273" t="str">
            <v>PNS</v>
          </cell>
        </row>
        <row r="274">
          <cell r="G274" t="str">
            <v>AKTIF</v>
          </cell>
          <cell r="N274" t="str">
            <v>Perempuan</v>
          </cell>
          <cell r="AE274" t="str">
            <v>SMA</v>
          </cell>
          <cell r="AG274" t="str">
            <v>ANALIS KESEHATAN</v>
          </cell>
          <cell r="AW274" t="str">
            <v>PNS</v>
          </cell>
        </row>
        <row r="275">
          <cell r="G275" t="str">
            <v>AKTIF</v>
          </cell>
          <cell r="N275" t="str">
            <v>Perempuan</v>
          </cell>
          <cell r="AE275" t="str">
            <v>D3</v>
          </cell>
          <cell r="AG275" t="str">
            <v>KEPERAWATAN</v>
          </cell>
          <cell r="AW275" t="str">
            <v>APBD</v>
          </cell>
        </row>
        <row r="276">
          <cell r="G276" t="str">
            <v>AKTIF</v>
          </cell>
          <cell r="N276" t="str">
            <v>Perempuan</v>
          </cell>
          <cell r="AE276" t="str">
            <v>S1 + Profesi</v>
          </cell>
          <cell r="AG276" t="str">
            <v>NERS</v>
          </cell>
          <cell r="AW276" t="str">
            <v>PNS</v>
          </cell>
        </row>
        <row r="277">
          <cell r="G277" t="str">
            <v>AKTIF</v>
          </cell>
          <cell r="N277" t="str">
            <v>Perempuan</v>
          </cell>
          <cell r="AE277" t="str">
            <v>D4</v>
          </cell>
          <cell r="AG277" t="str">
            <v>KEPERAWATAN PENDIDIK</v>
          </cell>
          <cell r="AW277" t="str">
            <v>PNS</v>
          </cell>
        </row>
        <row r="278">
          <cell r="G278" t="str">
            <v>AKTIF</v>
          </cell>
          <cell r="N278" t="str">
            <v>Perempuan</v>
          </cell>
          <cell r="AE278" t="str">
            <v>D4</v>
          </cell>
          <cell r="AG278" t="str">
            <v>AKUTANSI KEUANGAN PUBLIK</v>
          </cell>
          <cell r="AW278" t="str">
            <v>APBD</v>
          </cell>
        </row>
        <row r="279">
          <cell r="G279" t="str">
            <v>AKTIF</v>
          </cell>
          <cell r="N279" t="str">
            <v>Perempuan</v>
          </cell>
          <cell r="AE279" t="str">
            <v>D3</v>
          </cell>
          <cell r="AG279" t="str">
            <v>KEBIDANAN</v>
          </cell>
          <cell r="AW279" t="str">
            <v>PNS</v>
          </cell>
        </row>
        <row r="280">
          <cell r="G280" t="str">
            <v>AKTIF</v>
          </cell>
          <cell r="N280" t="str">
            <v>Perempuan</v>
          </cell>
          <cell r="AE280" t="str">
            <v>D3</v>
          </cell>
          <cell r="AG280" t="str">
            <v>KEPERAWATAN</v>
          </cell>
          <cell r="AW280" t="str">
            <v>APBD</v>
          </cell>
        </row>
        <row r="281">
          <cell r="G281" t="str">
            <v>AKTIF</v>
          </cell>
          <cell r="N281" t="str">
            <v>Perempuan</v>
          </cell>
          <cell r="AE281" t="str">
            <v>D4</v>
          </cell>
          <cell r="AG281" t="str">
            <v>GIZI</v>
          </cell>
          <cell r="AW281" t="str">
            <v>PNS</v>
          </cell>
        </row>
        <row r="282">
          <cell r="G282" t="str">
            <v>AKTIF</v>
          </cell>
          <cell r="N282" t="str">
            <v>Perempuan</v>
          </cell>
          <cell r="AE282" t="str">
            <v>S1</v>
          </cell>
          <cell r="AG282" t="str">
            <v>KEPERAWATAN</v>
          </cell>
          <cell r="AW282" t="str">
            <v>PNS</v>
          </cell>
        </row>
        <row r="283">
          <cell r="G283" t="str">
            <v>AKTIF</v>
          </cell>
          <cell r="N283" t="str">
            <v>Perempuan</v>
          </cell>
          <cell r="AE283" t="str">
            <v>S1 + Profesi</v>
          </cell>
          <cell r="AG283" t="str">
            <v>NERS</v>
          </cell>
          <cell r="AW283" t="str">
            <v>PNS</v>
          </cell>
        </row>
        <row r="284">
          <cell r="G284" t="str">
            <v>AKTIF</v>
          </cell>
          <cell r="N284" t="str">
            <v>Perempuan</v>
          </cell>
          <cell r="AE284" t="str">
            <v>D4</v>
          </cell>
          <cell r="AG284" t="str">
            <v>GIZI</v>
          </cell>
          <cell r="AW284" t="str">
            <v>PNS</v>
          </cell>
        </row>
        <row r="285">
          <cell r="G285" t="str">
            <v>AKTIF</v>
          </cell>
          <cell r="N285" t="str">
            <v>Perempuan</v>
          </cell>
          <cell r="AE285" t="str">
            <v>D3</v>
          </cell>
          <cell r="AG285" t="str">
            <v>KEBIDANAN</v>
          </cell>
          <cell r="AW285" t="str">
            <v>APBD</v>
          </cell>
        </row>
        <row r="286">
          <cell r="G286" t="str">
            <v>AKTIF</v>
          </cell>
          <cell r="N286" t="str">
            <v>Perempuan</v>
          </cell>
          <cell r="AE286" t="str">
            <v>D3</v>
          </cell>
          <cell r="AG286" t="str">
            <v>KEBIDANAN</v>
          </cell>
          <cell r="AW286" t="str">
            <v>PNS</v>
          </cell>
        </row>
        <row r="287">
          <cell r="G287" t="str">
            <v>AKTIF</v>
          </cell>
          <cell r="N287" t="str">
            <v>Perempuan</v>
          </cell>
          <cell r="AE287" t="str">
            <v>D3</v>
          </cell>
          <cell r="AG287" t="str">
            <v>KEBIDANAN</v>
          </cell>
          <cell r="AW287" t="str">
            <v>APBD</v>
          </cell>
        </row>
        <row r="288">
          <cell r="G288" t="str">
            <v>AKTIF</v>
          </cell>
          <cell r="N288" t="str">
            <v>Perempuan</v>
          </cell>
          <cell r="AE288" t="str">
            <v>D4</v>
          </cell>
          <cell r="AG288" t="str">
            <v>GIZI</v>
          </cell>
          <cell r="AW288" t="str">
            <v>PNS</v>
          </cell>
        </row>
        <row r="289">
          <cell r="G289" t="str">
            <v>AKTIF</v>
          </cell>
          <cell r="N289" t="str">
            <v>Perempuan</v>
          </cell>
          <cell r="AE289" t="str">
            <v>D3</v>
          </cell>
          <cell r="AG289" t="str">
            <v>ANALIS KESEHATAN</v>
          </cell>
          <cell r="AW289" t="str">
            <v>APBD</v>
          </cell>
        </row>
        <row r="290">
          <cell r="G290" t="str">
            <v>AKTIF</v>
          </cell>
          <cell r="N290" t="str">
            <v>Perempuan</v>
          </cell>
          <cell r="AE290" t="str">
            <v>S1</v>
          </cell>
          <cell r="AG290" t="str">
            <v>AKUTANSI</v>
          </cell>
          <cell r="AW290" t="str">
            <v>APBD</v>
          </cell>
        </row>
        <row r="291">
          <cell r="G291" t="str">
            <v>AKTIF</v>
          </cell>
          <cell r="N291" t="str">
            <v>Laki-Laki</v>
          </cell>
          <cell r="AE291" t="str">
            <v>S1</v>
          </cell>
          <cell r="AG291" t="str">
            <v>ILMU ADMINISTRASI PUBLIK</v>
          </cell>
          <cell r="AW291" t="str">
            <v>BLUD</v>
          </cell>
        </row>
        <row r="292">
          <cell r="G292" t="str">
            <v>AKTIF</v>
          </cell>
          <cell r="N292" t="str">
            <v>Laki-Laki</v>
          </cell>
          <cell r="AE292" t="str">
            <v>SMA</v>
          </cell>
          <cell r="AG292" t="str">
            <v>SMK</v>
          </cell>
          <cell r="AW292" t="str">
            <v>BLUD</v>
          </cell>
        </row>
        <row r="293">
          <cell r="G293" t="str">
            <v>AKTIF</v>
          </cell>
          <cell r="N293" t="str">
            <v>Perempuan</v>
          </cell>
          <cell r="AE293" t="str">
            <v>S1 + Profesi</v>
          </cell>
          <cell r="AG293" t="str">
            <v>NERS</v>
          </cell>
          <cell r="AW293" t="str">
            <v>PNS</v>
          </cell>
        </row>
        <row r="294">
          <cell r="G294" t="str">
            <v>AKTIF</v>
          </cell>
          <cell r="N294" t="str">
            <v>Perempuan</v>
          </cell>
          <cell r="AE294" t="str">
            <v>S1</v>
          </cell>
          <cell r="AG294" t="str">
            <v>SAINS</v>
          </cell>
          <cell r="AW294" t="str">
            <v>APBD</v>
          </cell>
        </row>
        <row r="295">
          <cell r="G295" t="str">
            <v>AKTIF</v>
          </cell>
          <cell r="N295" t="str">
            <v>Perempuan</v>
          </cell>
          <cell r="AE295" t="str">
            <v>S1 + Profesi</v>
          </cell>
          <cell r="AG295" t="str">
            <v>NERS</v>
          </cell>
          <cell r="AW295" t="str">
            <v>APBD</v>
          </cell>
        </row>
        <row r="296">
          <cell r="G296" t="str">
            <v>AKTIF</v>
          </cell>
          <cell r="N296" t="str">
            <v>Perempuan</v>
          </cell>
          <cell r="AE296" t="str">
            <v>SMA</v>
          </cell>
          <cell r="AG296" t="str">
            <v>SMA</v>
          </cell>
          <cell r="AW296" t="str">
            <v>BLUD</v>
          </cell>
        </row>
        <row r="297">
          <cell r="G297" t="str">
            <v>AKTIF</v>
          </cell>
          <cell r="N297" t="str">
            <v>Perempuan</v>
          </cell>
          <cell r="AE297" t="str">
            <v>D3</v>
          </cell>
          <cell r="AG297" t="str">
            <v>KEPERAWATAN</v>
          </cell>
          <cell r="AW297" t="str">
            <v>APBD</v>
          </cell>
        </row>
        <row r="298">
          <cell r="G298" t="str">
            <v>AKTIF</v>
          </cell>
          <cell r="N298" t="str">
            <v>Perempuan</v>
          </cell>
          <cell r="AE298" t="str">
            <v>S1</v>
          </cell>
          <cell r="AG298" t="str">
            <v>SASTRA INGGRIS</v>
          </cell>
          <cell r="AW298" t="str">
            <v>APBD</v>
          </cell>
        </row>
        <row r="299">
          <cell r="G299" t="str">
            <v>AKTIF</v>
          </cell>
          <cell r="N299" t="str">
            <v>Perempuan</v>
          </cell>
          <cell r="AE299" t="str">
            <v>S1</v>
          </cell>
          <cell r="AG299" t="str">
            <v>SISTEM INFORMASI</v>
          </cell>
          <cell r="AW299" t="str">
            <v>BLUD</v>
          </cell>
        </row>
        <row r="300">
          <cell r="G300" t="str">
            <v>AKTIF</v>
          </cell>
          <cell r="N300" t="str">
            <v>Perempuan</v>
          </cell>
          <cell r="AE300" t="str">
            <v>S1 + Profesi</v>
          </cell>
          <cell r="AG300" t="str">
            <v>NERS</v>
          </cell>
          <cell r="AW300" t="str">
            <v>APBD</v>
          </cell>
        </row>
        <row r="301">
          <cell r="G301" t="str">
            <v>AKTIF</v>
          </cell>
          <cell r="N301" t="str">
            <v>Laki-Laki</v>
          </cell>
          <cell r="AE301" t="str">
            <v>S1</v>
          </cell>
          <cell r="AG301" t="str">
            <v>KEPERAWATAN</v>
          </cell>
          <cell r="AW301" t="str">
            <v>APBD</v>
          </cell>
        </row>
        <row r="302">
          <cell r="G302" t="str">
            <v>AKTIF</v>
          </cell>
          <cell r="N302" t="str">
            <v>Perempuan</v>
          </cell>
          <cell r="AE302" t="str">
            <v>S1 + Profesi</v>
          </cell>
          <cell r="AG302" t="str">
            <v>NERS</v>
          </cell>
          <cell r="AW302" t="str">
            <v>PNS</v>
          </cell>
        </row>
        <row r="303">
          <cell r="G303" t="str">
            <v>AKTIF</v>
          </cell>
          <cell r="N303" t="str">
            <v>Perempuan</v>
          </cell>
          <cell r="AE303" t="str">
            <v>D3</v>
          </cell>
          <cell r="AG303" t="str">
            <v>KEBIDANAN</v>
          </cell>
          <cell r="AW303" t="str">
            <v>APBD</v>
          </cell>
        </row>
        <row r="304">
          <cell r="G304" t="str">
            <v>AKTIF</v>
          </cell>
          <cell r="N304" t="str">
            <v>Perempuan</v>
          </cell>
          <cell r="AE304" t="str">
            <v>D3</v>
          </cell>
          <cell r="AG304" t="str">
            <v>KEPERAWATAN</v>
          </cell>
          <cell r="AW304" t="str">
            <v>APBD</v>
          </cell>
        </row>
        <row r="305">
          <cell r="G305" t="str">
            <v>AKTIF</v>
          </cell>
          <cell r="N305" t="str">
            <v>Perempuan</v>
          </cell>
          <cell r="AE305" t="str">
            <v>D3</v>
          </cell>
          <cell r="AG305" t="str">
            <v>KEPERAWATAN</v>
          </cell>
          <cell r="AW305" t="str">
            <v>BLUD</v>
          </cell>
        </row>
        <row r="306">
          <cell r="G306" t="str">
            <v>AKTIF</v>
          </cell>
          <cell r="N306" t="str">
            <v>Perempuan</v>
          </cell>
          <cell r="AE306" t="str">
            <v>S1 + Profesi</v>
          </cell>
          <cell r="AG306" t="str">
            <v>NERS</v>
          </cell>
          <cell r="AW306" t="str">
            <v>APBD</v>
          </cell>
        </row>
        <row r="307">
          <cell r="G307" t="str">
            <v>AKTIF</v>
          </cell>
          <cell r="N307" t="str">
            <v>Laki-Laki</v>
          </cell>
          <cell r="AE307" t="str">
            <v>SMA</v>
          </cell>
          <cell r="AG307" t="str">
            <v>SMK</v>
          </cell>
          <cell r="AW307" t="str">
            <v>BLUD</v>
          </cell>
        </row>
        <row r="308">
          <cell r="G308" t="str">
            <v>AKTIF</v>
          </cell>
          <cell r="N308" t="str">
            <v>Perempuan</v>
          </cell>
          <cell r="AE308" t="str">
            <v>SMA</v>
          </cell>
          <cell r="AG308" t="str">
            <v>SMK</v>
          </cell>
          <cell r="AW308" t="str">
            <v>BLUD</v>
          </cell>
        </row>
        <row r="309">
          <cell r="G309" t="str">
            <v>AKTIF</v>
          </cell>
          <cell r="N309" t="str">
            <v>Laki-Laki</v>
          </cell>
          <cell r="AE309" t="str">
            <v>SMA</v>
          </cell>
          <cell r="AG309" t="str">
            <v>SMK</v>
          </cell>
          <cell r="AW309" t="str">
            <v>BLUD</v>
          </cell>
        </row>
        <row r="310">
          <cell r="G310" t="str">
            <v>AKTIF</v>
          </cell>
          <cell r="N310" t="str">
            <v>Perempuan</v>
          </cell>
          <cell r="AE310" t="str">
            <v>S1</v>
          </cell>
          <cell r="AG310" t="str">
            <v>SISTEM INFORMASI</v>
          </cell>
          <cell r="AW310" t="str">
            <v>APBD</v>
          </cell>
        </row>
        <row r="311">
          <cell r="G311" t="str">
            <v>AKTIF</v>
          </cell>
          <cell r="N311" t="str">
            <v>Laki-Laki</v>
          </cell>
          <cell r="AE311" t="str">
            <v>S1</v>
          </cell>
          <cell r="AG311" t="str">
            <v>MANAJEMEN</v>
          </cell>
          <cell r="AW311" t="str">
            <v>APBD</v>
          </cell>
        </row>
        <row r="312">
          <cell r="G312" t="str">
            <v>AKTIF</v>
          </cell>
          <cell r="N312" t="str">
            <v>Perempuan</v>
          </cell>
          <cell r="AE312" t="str">
            <v>S2</v>
          </cell>
          <cell r="AG312" t="str">
            <v>HUKUM PIDANA</v>
          </cell>
          <cell r="AW312" t="str">
            <v>PNS</v>
          </cell>
        </row>
        <row r="313">
          <cell r="G313" t="str">
            <v>AKTIF</v>
          </cell>
          <cell r="N313" t="str">
            <v>Perempuan</v>
          </cell>
          <cell r="AE313" t="str">
            <v>S1 + Profesi</v>
          </cell>
          <cell r="AG313" t="str">
            <v>NERS</v>
          </cell>
          <cell r="AW313" t="str">
            <v>PNS</v>
          </cell>
        </row>
        <row r="314">
          <cell r="G314" t="str">
            <v>AKTIF</v>
          </cell>
          <cell r="N314" t="str">
            <v>Laki-Laki</v>
          </cell>
          <cell r="AE314" t="str">
            <v>S1 + Profesi</v>
          </cell>
          <cell r="AG314" t="str">
            <v>NERS</v>
          </cell>
          <cell r="AW314" t="str">
            <v>APBD</v>
          </cell>
        </row>
        <row r="315">
          <cell r="G315" t="str">
            <v>AKTIF</v>
          </cell>
          <cell r="N315" t="str">
            <v>Laki-Laki</v>
          </cell>
          <cell r="AE315" t="str">
            <v>SMA</v>
          </cell>
          <cell r="AG315" t="str">
            <v>SMK</v>
          </cell>
          <cell r="AW315" t="str">
            <v>BLUD</v>
          </cell>
        </row>
        <row r="316">
          <cell r="G316" t="str">
            <v>AKTIF</v>
          </cell>
          <cell r="N316" t="str">
            <v>Perempuan</v>
          </cell>
          <cell r="AE316" t="str">
            <v>D3</v>
          </cell>
          <cell r="AG316" t="str">
            <v>ANALIS KESEHATAN</v>
          </cell>
          <cell r="AW316" t="str">
            <v>APBD</v>
          </cell>
        </row>
        <row r="317">
          <cell r="G317" t="str">
            <v>AKTIF</v>
          </cell>
          <cell r="N317" t="str">
            <v>Laki-Laki</v>
          </cell>
          <cell r="AE317" t="str">
            <v>S1</v>
          </cell>
          <cell r="AG317" t="str">
            <v>ANALIS KESEHATAN</v>
          </cell>
          <cell r="AW317" t="str">
            <v>APBD</v>
          </cell>
        </row>
        <row r="318">
          <cell r="G318" t="str">
            <v>AKTIF</v>
          </cell>
          <cell r="N318" t="str">
            <v>Perempuan</v>
          </cell>
          <cell r="AE318" t="str">
            <v>SMP</v>
          </cell>
          <cell r="AG318" t="str">
            <v>SMP</v>
          </cell>
          <cell r="AW318" t="str">
            <v>PNS</v>
          </cell>
        </row>
        <row r="319">
          <cell r="G319" t="str">
            <v>AKTIF</v>
          </cell>
          <cell r="N319" t="str">
            <v>Laki-Laki</v>
          </cell>
          <cell r="AE319" t="str">
            <v>SMA</v>
          </cell>
          <cell r="AG319" t="str">
            <v>SMK</v>
          </cell>
          <cell r="AW319" t="str">
            <v>APBD</v>
          </cell>
        </row>
        <row r="320">
          <cell r="G320" t="str">
            <v>AKTIF</v>
          </cell>
          <cell r="N320" t="str">
            <v>Perempuan</v>
          </cell>
          <cell r="AE320" t="str">
            <v>SMA</v>
          </cell>
          <cell r="AG320" t="str">
            <v>SMA</v>
          </cell>
          <cell r="AW320" t="str">
            <v>BLUD</v>
          </cell>
        </row>
        <row r="321">
          <cell r="G321" t="str">
            <v>AKTIF</v>
          </cell>
          <cell r="N321" t="str">
            <v>Perempuan</v>
          </cell>
          <cell r="AE321" t="str">
            <v>S1 + Profesi</v>
          </cell>
          <cell r="AG321" t="str">
            <v>NERS</v>
          </cell>
          <cell r="AW321" t="str">
            <v>APBD</v>
          </cell>
        </row>
        <row r="322">
          <cell r="G322" t="str">
            <v>AKTIF</v>
          </cell>
          <cell r="N322" t="str">
            <v>Perempuan</v>
          </cell>
          <cell r="AE322" t="str">
            <v>S1</v>
          </cell>
          <cell r="AG322" t="str">
            <v>AKUTANSI</v>
          </cell>
          <cell r="AW322" t="str">
            <v>APBD</v>
          </cell>
        </row>
        <row r="323">
          <cell r="G323" t="str">
            <v>AKTIF</v>
          </cell>
          <cell r="N323" t="str">
            <v>Perempuan</v>
          </cell>
          <cell r="AE323" t="str">
            <v>D3</v>
          </cell>
          <cell r="AG323" t="str">
            <v>KEPERAWATAN</v>
          </cell>
          <cell r="AW323" t="str">
            <v>PNS</v>
          </cell>
        </row>
        <row r="324">
          <cell r="G324" t="str">
            <v>AKTIF</v>
          </cell>
          <cell r="N324" t="str">
            <v>Perempuan</v>
          </cell>
          <cell r="AE324" t="str">
            <v>D3</v>
          </cell>
          <cell r="AG324" t="str">
            <v>KEPERAWATAN</v>
          </cell>
          <cell r="AW324" t="str">
            <v>APBD</v>
          </cell>
        </row>
        <row r="325">
          <cell r="G325" t="str">
            <v>AKTIF</v>
          </cell>
          <cell r="N325" t="str">
            <v>Laki-Laki</v>
          </cell>
          <cell r="AE325" t="str">
            <v>S1</v>
          </cell>
          <cell r="AG325" t="str">
            <v>KESEHATAN MASYARAKAT</v>
          </cell>
          <cell r="AW325" t="str">
            <v>PNS</v>
          </cell>
        </row>
        <row r="326">
          <cell r="G326" t="str">
            <v>AKTIF</v>
          </cell>
          <cell r="N326" t="str">
            <v>Laki-Laki</v>
          </cell>
          <cell r="AE326" t="str">
            <v>S1 + Profesi</v>
          </cell>
          <cell r="AG326" t="str">
            <v>NERS</v>
          </cell>
          <cell r="AW326" t="str">
            <v>APBD</v>
          </cell>
        </row>
        <row r="327">
          <cell r="G327" t="str">
            <v>AKTIF</v>
          </cell>
          <cell r="N327" t="str">
            <v>Laki-Laki</v>
          </cell>
          <cell r="AE327" t="str">
            <v>D3</v>
          </cell>
          <cell r="AG327" t="str">
            <v>FISIOTERAPI</v>
          </cell>
          <cell r="AW327" t="str">
            <v>PNS</v>
          </cell>
        </row>
        <row r="328">
          <cell r="G328" t="str">
            <v>AKTIF</v>
          </cell>
          <cell r="N328" t="str">
            <v>Laki-Laki</v>
          </cell>
          <cell r="AE328" t="str">
            <v>S1</v>
          </cell>
          <cell r="AG328" t="str">
            <v>TEKNIK INFORMATIKA</v>
          </cell>
          <cell r="AW328" t="str">
            <v>APBD</v>
          </cell>
        </row>
        <row r="329">
          <cell r="G329" t="str">
            <v>AKTIF</v>
          </cell>
          <cell r="N329" t="str">
            <v>Perempuan</v>
          </cell>
          <cell r="AE329" t="str">
            <v>SMA</v>
          </cell>
          <cell r="AG329" t="str">
            <v>SMA</v>
          </cell>
          <cell r="AW329" t="str">
            <v>BLUD</v>
          </cell>
        </row>
        <row r="330">
          <cell r="G330" t="str">
            <v>AKTIF</v>
          </cell>
          <cell r="N330" t="str">
            <v>Perempuan</v>
          </cell>
          <cell r="AE330" t="str">
            <v>S1</v>
          </cell>
          <cell r="AG330" t="str">
            <v>MANAJEMEN</v>
          </cell>
          <cell r="AW330" t="str">
            <v>PNS</v>
          </cell>
        </row>
        <row r="331">
          <cell r="G331" t="str">
            <v>AKTIF</v>
          </cell>
          <cell r="N331" t="str">
            <v>Perempuan</v>
          </cell>
          <cell r="AE331" t="str">
            <v>S1 + Profesi</v>
          </cell>
          <cell r="AG331" t="str">
            <v>NERS</v>
          </cell>
          <cell r="AW331" t="str">
            <v>APBD</v>
          </cell>
        </row>
        <row r="332">
          <cell r="G332" t="str">
            <v>AKTIF</v>
          </cell>
          <cell r="N332" t="str">
            <v>Perempuan</v>
          </cell>
          <cell r="AE332" t="str">
            <v>D3</v>
          </cell>
          <cell r="AG332" t="str">
            <v>KEBIDANAN</v>
          </cell>
          <cell r="AW332" t="str">
            <v>APBD</v>
          </cell>
        </row>
        <row r="333">
          <cell r="G333" t="str">
            <v>AKTIF</v>
          </cell>
          <cell r="N333" t="str">
            <v>Perempuan</v>
          </cell>
          <cell r="AE333" t="str">
            <v>S1</v>
          </cell>
          <cell r="AG333" t="str">
            <v>KEPERAWATAN</v>
          </cell>
          <cell r="AW333" t="str">
            <v>PNS</v>
          </cell>
        </row>
        <row r="334">
          <cell r="G334" t="str">
            <v>AKTIF</v>
          </cell>
          <cell r="N334" t="str">
            <v>Laki-Laki</v>
          </cell>
          <cell r="AE334" t="str">
            <v>D3</v>
          </cell>
          <cell r="AG334" t="str">
            <v>FARMASI</v>
          </cell>
          <cell r="AW334" t="str">
            <v>APBD</v>
          </cell>
        </row>
        <row r="335">
          <cell r="G335" t="str">
            <v>AKTIF</v>
          </cell>
          <cell r="N335" t="str">
            <v>Laki-Laki</v>
          </cell>
          <cell r="AE335" t="str">
            <v>D3</v>
          </cell>
          <cell r="AG335" t="str">
            <v>KEPERAWATAN</v>
          </cell>
          <cell r="AW335" t="str">
            <v>APBD</v>
          </cell>
        </row>
        <row r="336">
          <cell r="G336" t="str">
            <v>AKTIF</v>
          </cell>
          <cell r="N336" t="str">
            <v>Laki-Laki</v>
          </cell>
          <cell r="AE336" t="str">
            <v>D3</v>
          </cell>
          <cell r="AG336" t="str">
            <v>KEPERAWATAN</v>
          </cell>
          <cell r="AW336" t="str">
            <v>APBD</v>
          </cell>
        </row>
        <row r="337">
          <cell r="G337" t="str">
            <v>AKTIF</v>
          </cell>
          <cell r="N337" t="str">
            <v>Perempuan</v>
          </cell>
          <cell r="AE337" t="str">
            <v>D3</v>
          </cell>
          <cell r="AG337" t="str">
            <v>KEBIDANAN</v>
          </cell>
          <cell r="AW337" t="str">
            <v>PNS</v>
          </cell>
        </row>
        <row r="338">
          <cell r="G338" t="str">
            <v>AKTIF</v>
          </cell>
          <cell r="N338" t="str">
            <v>Perempuan</v>
          </cell>
          <cell r="AE338" t="str">
            <v>S1 + Profesi</v>
          </cell>
          <cell r="AG338" t="str">
            <v>NERS</v>
          </cell>
          <cell r="AW338" t="str">
            <v>BLUD</v>
          </cell>
        </row>
        <row r="339">
          <cell r="G339" t="str">
            <v>AKTIF</v>
          </cell>
          <cell r="N339" t="str">
            <v>Perempuan</v>
          </cell>
          <cell r="AE339" t="str">
            <v>S1 + Profesi</v>
          </cell>
          <cell r="AG339" t="str">
            <v>NERS</v>
          </cell>
          <cell r="AW339" t="str">
            <v>PNS</v>
          </cell>
        </row>
        <row r="340">
          <cell r="G340" t="str">
            <v>AKTIF</v>
          </cell>
          <cell r="N340" t="str">
            <v>Perempuan</v>
          </cell>
          <cell r="AE340" t="str">
            <v>SMA</v>
          </cell>
          <cell r="AG340" t="str">
            <v>SMA</v>
          </cell>
          <cell r="AW340" t="str">
            <v>BLUD</v>
          </cell>
        </row>
        <row r="341">
          <cell r="G341" t="str">
            <v>AKTIF</v>
          </cell>
          <cell r="N341" t="str">
            <v>Perempuan</v>
          </cell>
          <cell r="AE341" t="str">
            <v>D3</v>
          </cell>
          <cell r="AG341" t="str">
            <v>KEPERAWATAN</v>
          </cell>
          <cell r="AW341" t="str">
            <v>PNS</v>
          </cell>
        </row>
        <row r="342">
          <cell r="G342" t="str">
            <v>AKTIF</v>
          </cell>
          <cell r="N342" t="str">
            <v>Perempuan</v>
          </cell>
          <cell r="AE342" t="str">
            <v>S1 + Profesi</v>
          </cell>
          <cell r="AG342" t="str">
            <v>NERS</v>
          </cell>
          <cell r="AW342" t="str">
            <v>PNS</v>
          </cell>
        </row>
        <row r="343">
          <cell r="G343" t="str">
            <v>AKTIF</v>
          </cell>
          <cell r="N343" t="str">
            <v>Perempuan</v>
          </cell>
          <cell r="AE343" t="str">
            <v>S2</v>
          </cell>
          <cell r="AG343" t="str">
            <v>KESEHATAN MASYARAKAT</v>
          </cell>
          <cell r="AW343" t="str">
            <v>PNS</v>
          </cell>
        </row>
        <row r="344">
          <cell r="G344" t="str">
            <v>AKTIF</v>
          </cell>
          <cell r="N344" t="str">
            <v>Perempuan</v>
          </cell>
          <cell r="AE344" t="str">
            <v>S2</v>
          </cell>
          <cell r="AG344" t="str">
            <v>MANAJEMEN</v>
          </cell>
          <cell r="AW344" t="str">
            <v>PNS</v>
          </cell>
        </row>
        <row r="345">
          <cell r="G345" t="str">
            <v>AKTIF</v>
          </cell>
          <cell r="N345" t="str">
            <v>Perempuan</v>
          </cell>
          <cell r="AE345" t="str">
            <v>S1 + Profesi</v>
          </cell>
          <cell r="AG345" t="str">
            <v>NERS</v>
          </cell>
          <cell r="AW345" t="str">
            <v>PNS</v>
          </cell>
        </row>
        <row r="346">
          <cell r="G346" t="str">
            <v>AKTIF</v>
          </cell>
          <cell r="N346" t="str">
            <v>Perempuan</v>
          </cell>
          <cell r="AE346" t="str">
            <v>S2</v>
          </cell>
          <cell r="AG346" t="str">
            <v>ILMU KESEHATAN MASYARAKAT</v>
          </cell>
          <cell r="AW346" t="str">
            <v>PNS</v>
          </cell>
        </row>
        <row r="347">
          <cell r="G347" t="str">
            <v>AKTIF</v>
          </cell>
          <cell r="N347" t="str">
            <v>Laki-Laki</v>
          </cell>
          <cell r="AE347" t="str">
            <v>D3</v>
          </cell>
          <cell r="AG347" t="str">
            <v>KEPERAWATAN</v>
          </cell>
          <cell r="AW347" t="str">
            <v>APBD</v>
          </cell>
        </row>
        <row r="348">
          <cell r="G348" t="str">
            <v>AKTIF</v>
          </cell>
          <cell r="N348" t="str">
            <v>Perempuan</v>
          </cell>
          <cell r="AE348" t="str">
            <v>SMA</v>
          </cell>
          <cell r="AG348" t="str">
            <v>SMA</v>
          </cell>
          <cell r="AW348" t="str">
            <v>BLUD</v>
          </cell>
        </row>
        <row r="349">
          <cell r="G349" t="str">
            <v>AKTIF</v>
          </cell>
          <cell r="N349" t="str">
            <v>Perempuan</v>
          </cell>
          <cell r="AE349" t="str">
            <v>S1 + Profesi</v>
          </cell>
          <cell r="AG349" t="str">
            <v>NERS</v>
          </cell>
          <cell r="AW349" t="str">
            <v>PNS</v>
          </cell>
        </row>
        <row r="350">
          <cell r="G350" t="str">
            <v>AKTIF</v>
          </cell>
          <cell r="N350" t="str">
            <v>Perempuan</v>
          </cell>
          <cell r="AE350" t="str">
            <v>S1</v>
          </cell>
          <cell r="AG350" t="str">
            <v>KESEHATAN MASYARAKAT</v>
          </cell>
          <cell r="AW350" t="str">
            <v>PNS</v>
          </cell>
        </row>
        <row r="351">
          <cell r="G351" t="str">
            <v>AKTIF</v>
          </cell>
          <cell r="N351" t="str">
            <v>Laki-Laki</v>
          </cell>
          <cell r="AE351" t="str">
            <v>S1</v>
          </cell>
          <cell r="AG351" t="str">
            <v>MANAJEMEN</v>
          </cell>
          <cell r="AW351" t="str">
            <v>PNS</v>
          </cell>
        </row>
        <row r="352">
          <cell r="G352" t="str">
            <v>AKTIF</v>
          </cell>
          <cell r="N352" t="str">
            <v>Perempuan</v>
          </cell>
          <cell r="AE352" t="str">
            <v>D3</v>
          </cell>
          <cell r="AG352" t="str">
            <v>KEBIDANAN</v>
          </cell>
          <cell r="AW352" t="str">
            <v>APBD</v>
          </cell>
        </row>
        <row r="353">
          <cell r="G353" t="str">
            <v>AKTIF</v>
          </cell>
          <cell r="N353" t="str">
            <v>Perempuan</v>
          </cell>
          <cell r="AE353" t="str">
            <v>S1</v>
          </cell>
          <cell r="AG353" t="str">
            <v>FARMASI</v>
          </cell>
          <cell r="AW353" t="str">
            <v>APBD</v>
          </cell>
        </row>
        <row r="354">
          <cell r="G354" t="str">
            <v>AKTIF</v>
          </cell>
          <cell r="N354" t="str">
            <v>Perempuan</v>
          </cell>
          <cell r="AE354" t="str">
            <v>S1 + Profesi</v>
          </cell>
          <cell r="AG354" t="str">
            <v>NERS</v>
          </cell>
          <cell r="AW354" t="str">
            <v>APBD</v>
          </cell>
        </row>
        <row r="355">
          <cell r="G355" t="str">
            <v>AKTIF</v>
          </cell>
          <cell r="N355" t="str">
            <v>Perempuan</v>
          </cell>
          <cell r="AE355" t="str">
            <v>D3</v>
          </cell>
          <cell r="AG355" t="str">
            <v>KEPERAWATAN</v>
          </cell>
          <cell r="AW355" t="str">
            <v>APBD</v>
          </cell>
        </row>
        <row r="356">
          <cell r="G356" t="str">
            <v>AKTIF</v>
          </cell>
          <cell r="N356" t="str">
            <v>Perempuan</v>
          </cell>
          <cell r="AE356" t="str">
            <v>S1</v>
          </cell>
          <cell r="AG356" t="str">
            <v>ILMU ADMINISTRASI PUBLIK</v>
          </cell>
          <cell r="AW356" t="str">
            <v>APBD</v>
          </cell>
        </row>
        <row r="357">
          <cell r="G357" t="str">
            <v>AKTIF</v>
          </cell>
          <cell r="N357" t="str">
            <v>Perempuan</v>
          </cell>
          <cell r="AE357" t="str">
            <v>D3</v>
          </cell>
          <cell r="AG357" t="str">
            <v>KEPERAWATAN</v>
          </cell>
          <cell r="AW357" t="str">
            <v>BLUD</v>
          </cell>
        </row>
        <row r="358">
          <cell r="G358" t="str">
            <v>AKTIF</v>
          </cell>
          <cell r="N358" t="str">
            <v>Perempuan</v>
          </cell>
          <cell r="AE358" t="str">
            <v>D3</v>
          </cell>
          <cell r="AG358" t="str">
            <v>KEBIDANAN</v>
          </cell>
          <cell r="AW358" t="str">
            <v>APBD</v>
          </cell>
        </row>
        <row r="359">
          <cell r="G359" t="str">
            <v>AKTIF</v>
          </cell>
          <cell r="N359" t="str">
            <v>Perempuan</v>
          </cell>
          <cell r="AE359" t="str">
            <v>SMA</v>
          </cell>
          <cell r="AG359" t="str">
            <v>SMA</v>
          </cell>
          <cell r="AW359" t="str">
            <v>BLUD</v>
          </cell>
        </row>
        <row r="360">
          <cell r="G360" t="str">
            <v>AKTIF</v>
          </cell>
          <cell r="N360" t="str">
            <v>Perempuan</v>
          </cell>
          <cell r="AE360" t="str">
            <v>D3</v>
          </cell>
          <cell r="AG360" t="str">
            <v>KEPERAWATAN</v>
          </cell>
          <cell r="AW360" t="str">
            <v>BLUD</v>
          </cell>
        </row>
        <row r="361">
          <cell r="G361" t="str">
            <v>AKTIF</v>
          </cell>
          <cell r="N361" t="str">
            <v>Laki-Laki</v>
          </cell>
          <cell r="AE361" t="str">
            <v>D3</v>
          </cell>
          <cell r="AG361" t="str">
            <v>KEPERAWATAN</v>
          </cell>
          <cell r="AW361" t="str">
            <v>BLUD</v>
          </cell>
        </row>
        <row r="362">
          <cell r="G362" t="str">
            <v>AKTIF</v>
          </cell>
          <cell r="N362" t="str">
            <v>Perempuan</v>
          </cell>
          <cell r="AE362" t="str">
            <v>S1</v>
          </cell>
          <cell r="AG362" t="str">
            <v>AKUTANSI</v>
          </cell>
          <cell r="AW362" t="str">
            <v>APBD</v>
          </cell>
        </row>
        <row r="363">
          <cell r="G363" t="str">
            <v>AKTIF</v>
          </cell>
          <cell r="N363" t="str">
            <v>Perempuan</v>
          </cell>
          <cell r="AE363" t="str">
            <v>S1</v>
          </cell>
          <cell r="AG363" t="str">
            <v>MANAJEMEN</v>
          </cell>
          <cell r="AW363" t="str">
            <v>PNS</v>
          </cell>
        </row>
        <row r="364">
          <cell r="G364" t="str">
            <v>RESIGN</v>
          </cell>
          <cell r="N364" t="str">
            <v>Perempuan</v>
          </cell>
          <cell r="AE364" t="str">
            <v>D3</v>
          </cell>
          <cell r="AG364" t="str">
            <v>TEKNIK RADIODIAGNOSTIK DAN RADIOTERAPI</v>
          </cell>
        </row>
        <row r="365">
          <cell r="G365" t="str">
            <v>AKTIF</v>
          </cell>
          <cell r="N365" t="str">
            <v>Perempuan</v>
          </cell>
          <cell r="AE365" t="str">
            <v>S1</v>
          </cell>
          <cell r="AG365" t="str">
            <v>SAINS</v>
          </cell>
          <cell r="AW365" t="str">
            <v>PNS</v>
          </cell>
        </row>
        <row r="366">
          <cell r="G366" t="str">
            <v>AKTIF</v>
          </cell>
          <cell r="N366" t="str">
            <v>Perempuan</v>
          </cell>
          <cell r="AE366" t="str">
            <v>D3</v>
          </cell>
          <cell r="AG366" t="str">
            <v>KEPERAWATAN</v>
          </cell>
          <cell r="AW366" t="str">
            <v>PNS</v>
          </cell>
        </row>
        <row r="367">
          <cell r="G367" t="str">
            <v>AKTIF</v>
          </cell>
          <cell r="N367" t="str">
            <v>Perempuan</v>
          </cell>
          <cell r="AE367" t="str">
            <v>D3</v>
          </cell>
          <cell r="AG367" t="str">
            <v>KEPERAWATAN</v>
          </cell>
          <cell r="AW367" t="str">
            <v>PNS</v>
          </cell>
        </row>
        <row r="368">
          <cell r="G368" t="str">
            <v>AKTIF</v>
          </cell>
          <cell r="N368" t="str">
            <v>Laki-Laki</v>
          </cell>
          <cell r="AE368" t="str">
            <v>D3</v>
          </cell>
          <cell r="AG368" t="str">
            <v>KEPERAWATAN</v>
          </cell>
          <cell r="AW368" t="str">
            <v>BLUD</v>
          </cell>
        </row>
        <row r="369">
          <cell r="G369" t="str">
            <v>AKTIF</v>
          </cell>
          <cell r="N369" t="str">
            <v>Perempuan</v>
          </cell>
          <cell r="AE369" t="str">
            <v>D3</v>
          </cell>
          <cell r="AG369" t="str">
            <v>KEBIDANAN</v>
          </cell>
          <cell r="AW369" t="str">
            <v>APBD</v>
          </cell>
        </row>
        <row r="370">
          <cell r="G370" t="str">
            <v>AKTIF</v>
          </cell>
          <cell r="N370" t="str">
            <v>Laki-Laki</v>
          </cell>
          <cell r="AE370" t="str">
            <v>S1 + Profesi</v>
          </cell>
          <cell r="AG370" t="str">
            <v>NERS</v>
          </cell>
          <cell r="AW370" t="str">
            <v>APBD</v>
          </cell>
        </row>
        <row r="371">
          <cell r="G371" t="str">
            <v>AKTIF</v>
          </cell>
          <cell r="N371" t="str">
            <v>Perempuan</v>
          </cell>
          <cell r="AE371" t="str">
            <v>D3</v>
          </cell>
          <cell r="AG371" t="str">
            <v>KEPERAWATAN</v>
          </cell>
          <cell r="AW371" t="str">
            <v>APBD</v>
          </cell>
        </row>
        <row r="372">
          <cell r="G372" t="str">
            <v>AKTIF</v>
          </cell>
          <cell r="N372" t="str">
            <v>Perempuan</v>
          </cell>
          <cell r="AE372" t="str">
            <v>S1</v>
          </cell>
          <cell r="AG372" t="str">
            <v>PSIKOLOGI</v>
          </cell>
          <cell r="AW372" t="str">
            <v>PNS</v>
          </cell>
        </row>
        <row r="373">
          <cell r="G373" t="str">
            <v>RESIGN</v>
          </cell>
          <cell r="N373" t="str">
            <v>Perempuan</v>
          </cell>
          <cell r="AE373" t="str">
            <v>S1</v>
          </cell>
          <cell r="AG373" t="str">
            <v>SISTEM INFORMASI</v>
          </cell>
        </row>
        <row r="374">
          <cell r="G374" t="str">
            <v>AKTIF</v>
          </cell>
          <cell r="N374" t="str">
            <v>Laki-Laki</v>
          </cell>
          <cell r="AE374" t="str">
            <v>D3</v>
          </cell>
          <cell r="AG374" t="str">
            <v>FARMASI</v>
          </cell>
          <cell r="AW374" t="str">
            <v>PNS</v>
          </cell>
        </row>
        <row r="375">
          <cell r="G375" t="str">
            <v>AKTIF</v>
          </cell>
          <cell r="N375" t="str">
            <v>Perempuan</v>
          </cell>
          <cell r="AE375" t="str">
            <v>S1 + Profesi</v>
          </cell>
          <cell r="AG375" t="str">
            <v>NERS</v>
          </cell>
          <cell r="AW375" t="str">
            <v>PNS</v>
          </cell>
        </row>
        <row r="376">
          <cell r="G376" t="str">
            <v>AKTIF</v>
          </cell>
          <cell r="N376" t="str">
            <v>Laki-Laki</v>
          </cell>
          <cell r="AE376" t="str">
            <v>D3</v>
          </cell>
          <cell r="AG376" t="str">
            <v>ANALIS KESEHATAN</v>
          </cell>
          <cell r="AW376" t="str">
            <v>APBD</v>
          </cell>
        </row>
        <row r="377">
          <cell r="G377" t="str">
            <v>AKTIF</v>
          </cell>
          <cell r="N377" t="str">
            <v>Perempuan</v>
          </cell>
          <cell r="AE377" t="str">
            <v>S1 + Profesi</v>
          </cell>
          <cell r="AG377" t="str">
            <v>NERS</v>
          </cell>
          <cell r="AW377" t="str">
            <v>PNS</v>
          </cell>
        </row>
        <row r="378">
          <cell r="G378" t="str">
            <v>AKTIF</v>
          </cell>
          <cell r="N378" t="str">
            <v>Perempuan</v>
          </cell>
          <cell r="AE378" t="str">
            <v>SMA</v>
          </cell>
          <cell r="AG378" t="str">
            <v>SMK</v>
          </cell>
          <cell r="AW378" t="str">
            <v>BLUD</v>
          </cell>
        </row>
        <row r="379">
          <cell r="G379" t="str">
            <v>AKTIF</v>
          </cell>
          <cell r="N379" t="str">
            <v>Perempuan</v>
          </cell>
          <cell r="AE379" t="str">
            <v>S1 + Profesi</v>
          </cell>
          <cell r="AG379" t="str">
            <v>NERS</v>
          </cell>
          <cell r="AW379" t="str">
            <v>PNS</v>
          </cell>
        </row>
        <row r="380">
          <cell r="G380" t="str">
            <v>AKTIF</v>
          </cell>
          <cell r="N380" t="str">
            <v>Perempuan</v>
          </cell>
          <cell r="AE380" t="str">
            <v>S1</v>
          </cell>
          <cell r="AG380" t="str">
            <v>KESEHATAN MASYARAKAT</v>
          </cell>
          <cell r="AW380" t="str">
            <v>PNS</v>
          </cell>
        </row>
        <row r="381">
          <cell r="G381" t="str">
            <v>AKTIF</v>
          </cell>
          <cell r="N381" t="str">
            <v>Laki-Laki</v>
          </cell>
          <cell r="AE381" t="str">
            <v>D3</v>
          </cell>
          <cell r="AG381" t="str">
            <v>TEKNIK RADIODIAGNOSTIK DAN RADIOTERAPI</v>
          </cell>
          <cell r="AW381" t="str">
            <v>APBD</v>
          </cell>
        </row>
        <row r="382">
          <cell r="G382" t="str">
            <v>AKTIF</v>
          </cell>
          <cell r="N382" t="str">
            <v>Perempuan</v>
          </cell>
          <cell r="AE382" t="str">
            <v>D4</v>
          </cell>
          <cell r="AG382" t="str">
            <v>GIZI</v>
          </cell>
          <cell r="AW382" t="str">
            <v>PNS</v>
          </cell>
        </row>
        <row r="383">
          <cell r="G383" t="str">
            <v>AKTIF</v>
          </cell>
          <cell r="N383" t="str">
            <v>Laki-Laki</v>
          </cell>
          <cell r="AE383" t="str">
            <v>D3</v>
          </cell>
          <cell r="AG383" t="str">
            <v>KEPERAWATAN</v>
          </cell>
          <cell r="AW383" t="str">
            <v>APBD</v>
          </cell>
        </row>
        <row r="384">
          <cell r="G384" t="str">
            <v>AKTIF</v>
          </cell>
          <cell r="N384" t="str">
            <v>Perempuan</v>
          </cell>
          <cell r="AE384" t="str">
            <v>D3</v>
          </cell>
          <cell r="AG384" t="str">
            <v>KEPERAWATAN</v>
          </cell>
          <cell r="AW384" t="str">
            <v>APBD</v>
          </cell>
        </row>
        <row r="385">
          <cell r="G385" t="str">
            <v>AKTIF</v>
          </cell>
          <cell r="N385" t="str">
            <v>Perempuan</v>
          </cell>
          <cell r="AE385" t="str">
            <v>S1</v>
          </cell>
          <cell r="AG385" t="str">
            <v>MANAJEMEN</v>
          </cell>
          <cell r="AW385" t="str">
            <v>PNS</v>
          </cell>
        </row>
        <row r="386">
          <cell r="G386" t="str">
            <v>AKTIF</v>
          </cell>
          <cell r="N386" t="str">
            <v>Laki-Laki</v>
          </cell>
          <cell r="AE386" t="str">
            <v>D4</v>
          </cell>
          <cell r="AG386" t="str">
            <v>FISIOTERAPI</v>
          </cell>
          <cell r="AW386" t="str">
            <v>PNS</v>
          </cell>
        </row>
        <row r="387">
          <cell r="G387" t="str">
            <v>AKTIF</v>
          </cell>
          <cell r="N387" t="str">
            <v>Laki-Laki</v>
          </cell>
          <cell r="AE387" t="str">
            <v>S1 + Profesi</v>
          </cell>
          <cell r="AG387" t="str">
            <v>NERS</v>
          </cell>
          <cell r="AW387" t="str">
            <v>APBD</v>
          </cell>
        </row>
        <row r="388">
          <cell r="G388" t="str">
            <v>AKTIF</v>
          </cell>
          <cell r="N388" t="str">
            <v>Perempuan</v>
          </cell>
          <cell r="AE388" t="str">
            <v>D3</v>
          </cell>
          <cell r="AG388" t="str">
            <v>FARMASI</v>
          </cell>
          <cell r="AW388" t="str">
            <v>PNS</v>
          </cell>
        </row>
        <row r="389">
          <cell r="G389" t="str">
            <v>AKTIF</v>
          </cell>
          <cell r="N389" t="str">
            <v>Perempuan</v>
          </cell>
          <cell r="AE389" t="str">
            <v>S1 + Profesi</v>
          </cell>
          <cell r="AG389" t="str">
            <v>NERS</v>
          </cell>
          <cell r="AW389" t="str">
            <v>PNS</v>
          </cell>
        </row>
        <row r="390">
          <cell r="G390" t="str">
            <v>PENSIUN</v>
          </cell>
          <cell r="N390" t="str">
            <v>Perempuan</v>
          </cell>
          <cell r="AE390" t="str">
            <v>S2</v>
          </cell>
          <cell r="AG390" t="str">
            <v>KESEHATAN MASYARAKAT</v>
          </cell>
          <cell r="AW390" t="str">
            <v>PNS</v>
          </cell>
        </row>
        <row r="391">
          <cell r="G391" t="str">
            <v>AKTIF</v>
          </cell>
          <cell r="N391" t="str">
            <v>Perempuan</v>
          </cell>
          <cell r="AE391" t="str">
            <v>S2</v>
          </cell>
          <cell r="AG391" t="str">
            <v>PSIKOLOGI</v>
          </cell>
          <cell r="AW391" t="str">
            <v>PNS</v>
          </cell>
        </row>
        <row r="392">
          <cell r="G392" t="str">
            <v>AKTIF</v>
          </cell>
          <cell r="N392" t="str">
            <v>Laki-Laki</v>
          </cell>
          <cell r="AE392" t="str">
            <v>D3</v>
          </cell>
          <cell r="AG392" t="str">
            <v>KEPERAWATAN</v>
          </cell>
          <cell r="AW392" t="str">
            <v>APBD</v>
          </cell>
        </row>
        <row r="393">
          <cell r="G393" t="str">
            <v>RESIGN</v>
          </cell>
          <cell r="N393" t="str">
            <v>Perempuan</v>
          </cell>
          <cell r="AE393" t="str">
            <v>D3</v>
          </cell>
          <cell r="AG393" t="str">
            <v>KEPERAWATAN</v>
          </cell>
          <cell r="AW393" t="str">
            <v>APBD</v>
          </cell>
        </row>
        <row r="394">
          <cell r="G394" t="str">
            <v>AKTIF</v>
          </cell>
          <cell r="N394" t="str">
            <v>Perempuan</v>
          </cell>
          <cell r="AE394" t="str">
            <v>APOTEKER</v>
          </cell>
          <cell r="AG394" t="str">
            <v>APOTEKER</v>
          </cell>
          <cell r="AW394" t="str">
            <v>BLUD</v>
          </cell>
        </row>
        <row r="395">
          <cell r="G395" t="str">
            <v>AKTIF</v>
          </cell>
          <cell r="N395" t="str">
            <v>Perempuan</v>
          </cell>
          <cell r="AE395" t="str">
            <v>SMP</v>
          </cell>
          <cell r="AG395" t="str">
            <v>SMP</v>
          </cell>
          <cell r="AW395" t="str">
            <v>PNS</v>
          </cell>
        </row>
        <row r="396">
          <cell r="G396" t="str">
            <v>AKTIF</v>
          </cell>
          <cell r="N396" t="str">
            <v>Perempuan</v>
          </cell>
          <cell r="AE396" t="str">
            <v>D3</v>
          </cell>
          <cell r="AG396" t="str">
            <v>REKAM MEDIS DAN INFORMASI KESEHATAN</v>
          </cell>
          <cell r="AW396" t="str">
            <v>PNS</v>
          </cell>
        </row>
        <row r="397">
          <cell r="G397" t="str">
            <v>AKTIF</v>
          </cell>
          <cell r="N397" t="str">
            <v>Laki-Laki</v>
          </cell>
          <cell r="AE397" t="str">
            <v>SMA</v>
          </cell>
          <cell r="AG397" t="str">
            <v>SMK</v>
          </cell>
          <cell r="AW397" t="str">
            <v>PNS</v>
          </cell>
        </row>
        <row r="398">
          <cell r="G398" t="str">
            <v>AKTIF</v>
          </cell>
          <cell r="N398" t="str">
            <v>Perempuan</v>
          </cell>
          <cell r="AE398" t="str">
            <v>S1</v>
          </cell>
          <cell r="AG398" t="str">
            <v>FISIKAWAN MEDIS</v>
          </cell>
          <cell r="AW398" t="str">
            <v>PNS</v>
          </cell>
        </row>
        <row r="399">
          <cell r="G399" t="str">
            <v>AKTIF</v>
          </cell>
          <cell r="N399" t="str">
            <v>Laki-Laki</v>
          </cell>
          <cell r="AE399" t="str">
            <v>D3</v>
          </cell>
          <cell r="AG399" t="str">
            <v>KEPERAWATAN</v>
          </cell>
          <cell r="AW399" t="str">
            <v>PNS</v>
          </cell>
        </row>
        <row r="400">
          <cell r="G400" t="str">
            <v>AKTIF</v>
          </cell>
          <cell r="N400" t="str">
            <v>Perempuan</v>
          </cell>
          <cell r="AE400" t="str">
            <v>S1 + Profesi</v>
          </cell>
          <cell r="AG400" t="str">
            <v>NERS</v>
          </cell>
          <cell r="AW400" t="str">
            <v>PNS</v>
          </cell>
        </row>
        <row r="401">
          <cell r="G401" t="str">
            <v>AKTIF</v>
          </cell>
          <cell r="N401" t="str">
            <v>Perempuan</v>
          </cell>
          <cell r="AE401" t="str">
            <v>S1 + Profesi</v>
          </cell>
          <cell r="AG401" t="str">
            <v>NERS</v>
          </cell>
          <cell r="AW401" t="str">
            <v>PNS</v>
          </cell>
        </row>
        <row r="402">
          <cell r="G402" t="str">
            <v>AKTIF</v>
          </cell>
          <cell r="N402" t="str">
            <v>Perempuan</v>
          </cell>
          <cell r="AE402" t="str">
            <v>S1</v>
          </cell>
          <cell r="AG402" t="str">
            <v>EPIDEMIOLOGI</v>
          </cell>
          <cell r="AW402" t="str">
            <v>PNS</v>
          </cell>
        </row>
        <row r="403">
          <cell r="G403" t="str">
            <v>AKTIF</v>
          </cell>
          <cell r="N403" t="str">
            <v>Perempuan</v>
          </cell>
          <cell r="AE403" t="str">
            <v>D3</v>
          </cell>
          <cell r="AG403" t="str">
            <v>KEPERAWATAN</v>
          </cell>
          <cell r="AW403" t="str">
            <v>PNS</v>
          </cell>
        </row>
        <row r="404">
          <cell r="G404" t="str">
            <v>AKTIF</v>
          </cell>
          <cell r="N404" t="str">
            <v>Perempuan</v>
          </cell>
          <cell r="AE404" t="str">
            <v>SMA</v>
          </cell>
          <cell r="AG404" t="str">
            <v>SMK</v>
          </cell>
          <cell r="AW404" t="str">
            <v>BLUD</v>
          </cell>
        </row>
        <row r="405">
          <cell r="G405" t="str">
            <v>AKTIF</v>
          </cell>
          <cell r="N405" t="str">
            <v>Perempuan</v>
          </cell>
          <cell r="AE405" t="str">
            <v>D3</v>
          </cell>
          <cell r="AG405" t="str">
            <v>KEPERAWATAN</v>
          </cell>
          <cell r="AW405" t="str">
            <v>APBD</v>
          </cell>
        </row>
        <row r="406">
          <cell r="G406" t="str">
            <v>AKTIF</v>
          </cell>
          <cell r="N406" t="str">
            <v>Perempuan</v>
          </cell>
          <cell r="AE406" t="str">
            <v>D3</v>
          </cell>
          <cell r="AG406" t="str">
            <v>GIZI</v>
          </cell>
          <cell r="AW406" t="str">
            <v>PNS</v>
          </cell>
        </row>
        <row r="407">
          <cell r="G407" t="str">
            <v>AKTIF</v>
          </cell>
          <cell r="N407" t="str">
            <v>Perempuan</v>
          </cell>
          <cell r="AE407" t="str">
            <v>D3</v>
          </cell>
          <cell r="AG407" t="str">
            <v>KEPERAWATAN</v>
          </cell>
          <cell r="AW407" t="str">
            <v>PNS</v>
          </cell>
        </row>
        <row r="408">
          <cell r="G408" t="str">
            <v>AKTIF</v>
          </cell>
          <cell r="N408" t="str">
            <v>Perempuan</v>
          </cell>
          <cell r="AE408" t="str">
            <v>S1</v>
          </cell>
          <cell r="AG408" t="str">
            <v>TEKNIK INFORMATIKA</v>
          </cell>
          <cell r="AW408" t="str">
            <v>APBD</v>
          </cell>
        </row>
        <row r="409">
          <cell r="G409" t="str">
            <v>AKTIF</v>
          </cell>
          <cell r="N409" t="str">
            <v>Perempuan</v>
          </cell>
          <cell r="AE409" t="str">
            <v>S1 + Profesi</v>
          </cell>
          <cell r="AG409" t="str">
            <v>NERS</v>
          </cell>
          <cell r="AW409" t="str">
            <v>APBD</v>
          </cell>
        </row>
        <row r="410">
          <cell r="G410" t="str">
            <v>AKTIF</v>
          </cell>
          <cell r="N410" t="str">
            <v>Perempuan</v>
          </cell>
          <cell r="AE410" t="str">
            <v>D3</v>
          </cell>
          <cell r="AG410" t="str">
            <v>FARMASI</v>
          </cell>
          <cell r="AW410" t="str">
            <v>PNS</v>
          </cell>
        </row>
        <row r="411">
          <cell r="G411" t="str">
            <v>AKTIF</v>
          </cell>
          <cell r="N411" t="str">
            <v>Perempuan</v>
          </cell>
          <cell r="AE411" t="str">
            <v>D3</v>
          </cell>
          <cell r="AG411" t="str">
            <v>KEPERAWATAN</v>
          </cell>
          <cell r="AW411" t="str">
            <v>APBD</v>
          </cell>
        </row>
        <row r="412">
          <cell r="G412" t="str">
            <v>AKTIF</v>
          </cell>
          <cell r="N412" t="str">
            <v>Perempuan</v>
          </cell>
          <cell r="AE412" t="str">
            <v>S2</v>
          </cell>
          <cell r="AG412" t="str">
            <v>ILMU KESEHATAN MASYARAKAT</v>
          </cell>
          <cell r="AW412" t="str">
            <v>PNS</v>
          </cell>
        </row>
        <row r="413">
          <cell r="G413" t="str">
            <v>AKTIF</v>
          </cell>
          <cell r="N413" t="str">
            <v>Perempuan</v>
          </cell>
          <cell r="AE413" t="str">
            <v>D4</v>
          </cell>
          <cell r="AG413" t="str">
            <v>GIZI</v>
          </cell>
          <cell r="AW413" t="str">
            <v>PNS</v>
          </cell>
        </row>
        <row r="414">
          <cell r="G414" t="str">
            <v>AKTIF</v>
          </cell>
          <cell r="N414" t="str">
            <v>Perempuan</v>
          </cell>
          <cell r="AE414" t="str">
            <v>D3</v>
          </cell>
          <cell r="AG414" t="str">
            <v>GIZI</v>
          </cell>
          <cell r="AW414" t="str">
            <v>PNS</v>
          </cell>
        </row>
        <row r="415">
          <cell r="G415" t="str">
            <v>AKTIF</v>
          </cell>
          <cell r="N415" t="str">
            <v>Perempuan</v>
          </cell>
          <cell r="AE415" t="str">
            <v>S1</v>
          </cell>
          <cell r="AG415" t="str">
            <v>FARMASI</v>
          </cell>
          <cell r="AW415" t="str">
            <v>APBD</v>
          </cell>
        </row>
        <row r="416">
          <cell r="G416" t="str">
            <v>AKTIF</v>
          </cell>
          <cell r="N416" t="str">
            <v>Perempuan</v>
          </cell>
          <cell r="AE416" t="str">
            <v>D3</v>
          </cell>
          <cell r="AG416" t="str">
            <v>KEBIDANAN</v>
          </cell>
          <cell r="AW416" t="str">
            <v>PNS</v>
          </cell>
        </row>
        <row r="417">
          <cell r="G417" t="str">
            <v>AKTIF</v>
          </cell>
          <cell r="N417" t="str">
            <v>Perempuan</v>
          </cell>
          <cell r="AE417" t="str">
            <v>S1</v>
          </cell>
          <cell r="AG417" t="str">
            <v>ILMU KESEHATAN MASYARAKAT</v>
          </cell>
          <cell r="AW417" t="str">
            <v>PNS</v>
          </cell>
        </row>
        <row r="418">
          <cell r="G418" t="str">
            <v>AKTIF</v>
          </cell>
          <cell r="N418" t="str">
            <v>Perempuan</v>
          </cell>
          <cell r="AE418" t="str">
            <v>APOTEKER</v>
          </cell>
          <cell r="AG418" t="str">
            <v>APOTEKER</v>
          </cell>
          <cell r="AW418" t="str">
            <v>BLUD</v>
          </cell>
        </row>
        <row r="419">
          <cell r="G419" t="str">
            <v>AKTIF</v>
          </cell>
          <cell r="N419" t="str">
            <v>Laki-Laki</v>
          </cell>
          <cell r="AE419" t="str">
            <v>D3</v>
          </cell>
          <cell r="AG419" t="str">
            <v>TEKNIK RADIODIAGNOSTIK DAN RADIOTERAPI</v>
          </cell>
          <cell r="AW419" t="str">
            <v>APBD</v>
          </cell>
        </row>
        <row r="420">
          <cell r="G420" t="str">
            <v>AKTIF</v>
          </cell>
          <cell r="N420" t="str">
            <v>Perempuan</v>
          </cell>
          <cell r="AE420" t="str">
            <v>S1 + Profesi</v>
          </cell>
          <cell r="AG420" t="str">
            <v>NERS</v>
          </cell>
          <cell r="AW420" t="str">
            <v>PNS</v>
          </cell>
        </row>
        <row r="421">
          <cell r="G421" t="str">
            <v>AKTIF</v>
          </cell>
          <cell r="N421" t="str">
            <v>Laki-Laki</v>
          </cell>
          <cell r="AE421" t="str">
            <v>S1 + Profesi</v>
          </cell>
          <cell r="AG421" t="str">
            <v>NERS</v>
          </cell>
          <cell r="AW421" t="str">
            <v>PNS</v>
          </cell>
        </row>
        <row r="422">
          <cell r="G422" t="str">
            <v>AKTIF</v>
          </cell>
          <cell r="N422" t="str">
            <v>Perempuan</v>
          </cell>
          <cell r="AE422" t="str">
            <v>S1</v>
          </cell>
          <cell r="AG422" t="str">
            <v>HUKUM EKONOMI</v>
          </cell>
          <cell r="AW422" t="str">
            <v>PNS</v>
          </cell>
        </row>
        <row r="423">
          <cell r="G423" t="str">
            <v>AKTIF</v>
          </cell>
          <cell r="N423" t="str">
            <v>Perempuan</v>
          </cell>
          <cell r="AE423" t="str">
            <v>D3</v>
          </cell>
          <cell r="AG423" t="str">
            <v>KEPERAWATAN</v>
          </cell>
          <cell r="AW423" t="str">
            <v>PNS</v>
          </cell>
        </row>
        <row r="424">
          <cell r="G424" t="str">
            <v>AKTIF</v>
          </cell>
          <cell r="N424" t="str">
            <v>Perempuan</v>
          </cell>
          <cell r="AE424" t="str">
            <v>D3</v>
          </cell>
          <cell r="AG424" t="str">
            <v>KEBIDANAN</v>
          </cell>
          <cell r="AW424" t="str">
            <v>PNS</v>
          </cell>
        </row>
        <row r="425">
          <cell r="G425" t="str">
            <v>AKTIF</v>
          </cell>
          <cell r="N425" t="str">
            <v>Perempuan</v>
          </cell>
          <cell r="AE425" t="str">
            <v>S2</v>
          </cell>
          <cell r="AG425" t="str">
            <v>PSIKOLOGI</v>
          </cell>
          <cell r="AW425" t="str">
            <v>PNS</v>
          </cell>
        </row>
        <row r="426">
          <cell r="G426" t="str">
            <v>AKTIF</v>
          </cell>
          <cell r="N426" t="str">
            <v>Perempuan</v>
          </cell>
          <cell r="AE426" t="str">
            <v>SMA</v>
          </cell>
          <cell r="AG426" t="str">
            <v>SMA</v>
          </cell>
          <cell r="AW426" t="str">
            <v>BLUD</v>
          </cell>
        </row>
        <row r="427">
          <cell r="G427" t="str">
            <v>AKTIF</v>
          </cell>
          <cell r="N427" t="str">
            <v>Perempuan</v>
          </cell>
          <cell r="AE427" t="str">
            <v>D3</v>
          </cell>
          <cell r="AG427" t="str">
            <v>TEKNIK ELEKTROMEDIS</v>
          </cell>
          <cell r="AW427" t="str">
            <v>PNS</v>
          </cell>
        </row>
        <row r="428">
          <cell r="G428" t="str">
            <v>AKTIF</v>
          </cell>
          <cell r="N428" t="str">
            <v>Perempuan</v>
          </cell>
          <cell r="AE428" t="str">
            <v>S1</v>
          </cell>
          <cell r="AG428" t="str">
            <v>KEPERAWATAN</v>
          </cell>
          <cell r="AW428" t="str">
            <v>APBD</v>
          </cell>
        </row>
        <row r="429">
          <cell r="G429" t="str">
            <v>AKTIF</v>
          </cell>
          <cell r="N429" t="str">
            <v>Laki-Laki</v>
          </cell>
          <cell r="AE429" t="str">
            <v>S1</v>
          </cell>
          <cell r="AG429" t="str">
            <v>KESEHATAN MASYARAKAT</v>
          </cell>
          <cell r="AW429" t="str">
            <v>PNS</v>
          </cell>
        </row>
        <row r="430">
          <cell r="G430" t="str">
            <v>AKTIF</v>
          </cell>
          <cell r="N430" t="str">
            <v>Laki-Laki</v>
          </cell>
          <cell r="AE430" t="str">
            <v>SMA</v>
          </cell>
          <cell r="AG430" t="str">
            <v>SMA</v>
          </cell>
          <cell r="AW430" t="str">
            <v>BLUD</v>
          </cell>
        </row>
        <row r="431">
          <cell r="G431" t="str">
            <v>AKTIF</v>
          </cell>
          <cell r="N431" t="str">
            <v>Perempuan</v>
          </cell>
          <cell r="AE431" t="str">
            <v>S1 + Profesi</v>
          </cell>
          <cell r="AG431" t="str">
            <v>NERS</v>
          </cell>
          <cell r="AW431" t="str">
            <v>PNS</v>
          </cell>
        </row>
        <row r="432">
          <cell r="G432" t="str">
            <v>AKTIF</v>
          </cell>
          <cell r="N432" t="str">
            <v>Perempuan</v>
          </cell>
          <cell r="AE432" t="str">
            <v>S1</v>
          </cell>
          <cell r="AG432" t="str">
            <v>EPIDEMIOLOGI</v>
          </cell>
          <cell r="AW432" t="str">
            <v>PNS</v>
          </cell>
        </row>
        <row r="433">
          <cell r="G433" t="str">
            <v>AKTIF</v>
          </cell>
          <cell r="N433" t="str">
            <v>Perempuan</v>
          </cell>
          <cell r="AE433" t="str">
            <v>D3</v>
          </cell>
          <cell r="AG433" t="str">
            <v>KEPERAWATAN</v>
          </cell>
          <cell r="AW433" t="str">
            <v>PNS</v>
          </cell>
        </row>
        <row r="434">
          <cell r="G434" t="str">
            <v>AKTIF</v>
          </cell>
          <cell r="N434" t="str">
            <v>Perempuan</v>
          </cell>
          <cell r="AE434" t="str">
            <v>D3</v>
          </cell>
          <cell r="AG434" t="str">
            <v>KEPERAWATAN</v>
          </cell>
          <cell r="AW434" t="str">
            <v>APBD</v>
          </cell>
        </row>
        <row r="435">
          <cell r="G435" t="str">
            <v>AKTIF</v>
          </cell>
          <cell r="N435" t="str">
            <v>Perempuan</v>
          </cell>
          <cell r="AE435" t="str">
            <v>S1</v>
          </cell>
          <cell r="AG435" t="str">
            <v>KESEHATAN LINGKUNGAN</v>
          </cell>
          <cell r="AW435" t="str">
            <v>PNS</v>
          </cell>
        </row>
        <row r="436">
          <cell r="G436" t="str">
            <v>AKTIF</v>
          </cell>
          <cell r="N436" t="str">
            <v>Perempuan</v>
          </cell>
          <cell r="AE436" t="str">
            <v>S1 + Profesi</v>
          </cell>
          <cell r="AG436" t="str">
            <v>NERS</v>
          </cell>
          <cell r="AW436" t="str">
            <v>PNS</v>
          </cell>
        </row>
        <row r="437">
          <cell r="G437" t="str">
            <v>AKTIF</v>
          </cell>
          <cell r="N437" t="str">
            <v>Perempuan</v>
          </cell>
          <cell r="AE437" t="str">
            <v>SMA</v>
          </cell>
          <cell r="AG437" t="str">
            <v>SMA</v>
          </cell>
          <cell r="AW437" t="str">
            <v>BLUD</v>
          </cell>
        </row>
        <row r="438">
          <cell r="G438" t="str">
            <v>AKTIF</v>
          </cell>
          <cell r="N438" t="str">
            <v>Laki-Laki</v>
          </cell>
          <cell r="AE438" t="str">
            <v>S1</v>
          </cell>
          <cell r="AG438" t="str">
            <v>SISTEM INFORMASI</v>
          </cell>
          <cell r="AW438" t="str">
            <v>APBD</v>
          </cell>
        </row>
        <row r="439">
          <cell r="G439" t="str">
            <v>AKTIF</v>
          </cell>
          <cell r="N439" t="str">
            <v>Perempuan</v>
          </cell>
          <cell r="AE439" t="str">
            <v>D3</v>
          </cell>
          <cell r="AG439" t="str">
            <v>KEPERAWATAN</v>
          </cell>
          <cell r="AW439" t="str">
            <v>BLUD</v>
          </cell>
        </row>
        <row r="440">
          <cell r="G440" t="str">
            <v>AKTIF</v>
          </cell>
          <cell r="N440" t="str">
            <v>Perempuan</v>
          </cell>
          <cell r="AE440" t="str">
            <v>D3</v>
          </cell>
          <cell r="AG440" t="str">
            <v>KEPERAWATAN</v>
          </cell>
          <cell r="AW440" t="str">
            <v>APBD</v>
          </cell>
        </row>
        <row r="441">
          <cell r="G441" t="str">
            <v>AKTIF</v>
          </cell>
          <cell r="N441" t="str">
            <v>Laki-Laki</v>
          </cell>
          <cell r="AE441" t="str">
            <v>SMA</v>
          </cell>
          <cell r="AG441" t="str">
            <v>SMA</v>
          </cell>
          <cell r="AW441" t="str">
            <v>BLUD</v>
          </cell>
        </row>
        <row r="442">
          <cell r="G442" t="str">
            <v>AKTIF</v>
          </cell>
          <cell r="N442" t="str">
            <v>Perempuan</v>
          </cell>
          <cell r="AE442" t="str">
            <v>D3</v>
          </cell>
          <cell r="AG442" t="str">
            <v>TEKNIK RADIODIAGNOSTIK DAN RADIOTERAPI</v>
          </cell>
          <cell r="AW442" t="str">
            <v>BLUD</v>
          </cell>
        </row>
        <row r="443">
          <cell r="G443" t="str">
            <v>AKTIF</v>
          </cell>
          <cell r="N443" t="str">
            <v>Laki-Laki</v>
          </cell>
          <cell r="AE443" t="str">
            <v>SMA</v>
          </cell>
          <cell r="AG443" t="str">
            <v>SMA</v>
          </cell>
          <cell r="AW443" t="str">
            <v>APBD</v>
          </cell>
        </row>
        <row r="444">
          <cell r="G444" t="str">
            <v>AKTIF</v>
          </cell>
          <cell r="N444" t="str">
            <v>Laki-Laki</v>
          </cell>
          <cell r="AE444" t="str">
            <v>SMA</v>
          </cell>
          <cell r="AG444" t="str">
            <v>SMA</v>
          </cell>
          <cell r="AW444" t="str">
            <v>BLUD</v>
          </cell>
        </row>
        <row r="445">
          <cell r="G445" t="str">
            <v>AKTIF</v>
          </cell>
          <cell r="N445" t="str">
            <v>Laki-Laki</v>
          </cell>
          <cell r="AE445" t="str">
            <v>D3</v>
          </cell>
          <cell r="AG445" t="str">
            <v>KEPERAWATAN</v>
          </cell>
          <cell r="AW445" t="str">
            <v>APBD</v>
          </cell>
        </row>
        <row r="446">
          <cell r="G446" t="str">
            <v>AKTIF</v>
          </cell>
          <cell r="N446" t="str">
            <v>Laki-Laki</v>
          </cell>
          <cell r="AE446" t="str">
            <v>S1</v>
          </cell>
          <cell r="AG446" t="str">
            <v>TEKNOLOGI INFORMASI DAN KOMUNIKASI</v>
          </cell>
          <cell r="AW446" t="str">
            <v>BLUD</v>
          </cell>
        </row>
        <row r="447">
          <cell r="G447" t="str">
            <v>AKTIF</v>
          </cell>
          <cell r="N447" t="str">
            <v>Laki-Laki</v>
          </cell>
          <cell r="AE447" t="str">
            <v>S1</v>
          </cell>
          <cell r="AG447" t="str">
            <v>TEKNIK INFORMATIKA</v>
          </cell>
          <cell r="AW447" t="str">
            <v>APBD</v>
          </cell>
        </row>
        <row r="448">
          <cell r="G448" t="str">
            <v>AKTIF</v>
          </cell>
          <cell r="N448" t="str">
            <v>Laki-Laki</v>
          </cell>
          <cell r="AE448" t="str">
            <v>D3</v>
          </cell>
          <cell r="AG448" t="str">
            <v>ANALIS KESEHATAN</v>
          </cell>
          <cell r="AW448" t="str">
            <v>BLUD</v>
          </cell>
        </row>
        <row r="449">
          <cell r="G449" t="str">
            <v>AKTIF</v>
          </cell>
          <cell r="N449" t="str">
            <v>Laki-Laki</v>
          </cell>
          <cell r="AE449" t="str">
            <v>SMA</v>
          </cell>
          <cell r="AG449" t="str">
            <v>SMK</v>
          </cell>
          <cell r="AW449" t="str">
            <v>BLUD</v>
          </cell>
        </row>
        <row r="450">
          <cell r="G450" t="str">
            <v>AKTIF</v>
          </cell>
          <cell r="N450" t="str">
            <v>Laki-Laki</v>
          </cell>
          <cell r="AE450" t="str">
            <v>S1</v>
          </cell>
          <cell r="AG450" t="str">
            <v>AKUTANSI</v>
          </cell>
          <cell r="AW450" t="str">
            <v>APBD</v>
          </cell>
        </row>
        <row r="451">
          <cell r="G451" t="str">
            <v>AKTIF</v>
          </cell>
          <cell r="N451" t="str">
            <v>Laki-Laki</v>
          </cell>
          <cell r="AE451" t="str">
            <v>SMA</v>
          </cell>
          <cell r="AG451" t="str">
            <v>SMK</v>
          </cell>
          <cell r="AW451" t="str">
            <v>BLUD</v>
          </cell>
        </row>
        <row r="452">
          <cell r="G452" t="str">
            <v>AKTIF</v>
          </cell>
          <cell r="N452" t="str">
            <v>Laki-Laki</v>
          </cell>
          <cell r="AE452" t="str">
            <v>S1</v>
          </cell>
          <cell r="AG452" t="str">
            <v>HUKUM ISLAM</v>
          </cell>
          <cell r="AW452" t="str">
            <v>APBD</v>
          </cell>
        </row>
        <row r="453">
          <cell r="G453" t="str">
            <v>AKTIF</v>
          </cell>
          <cell r="N453" t="str">
            <v>Laki-Laki</v>
          </cell>
          <cell r="AE453" t="str">
            <v>SMA</v>
          </cell>
          <cell r="AG453" t="str">
            <v>SMA</v>
          </cell>
          <cell r="AW453" t="str">
            <v>BLUD</v>
          </cell>
        </row>
        <row r="454">
          <cell r="G454" t="str">
            <v>AKTIF</v>
          </cell>
          <cell r="N454" t="str">
            <v>Laki-Laki</v>
          </cell>
          <cell r="AE454" t="str">
            <v>D3</v>
          </cell>
          <cell r="AG454" t="str">
            <v>KEPERAWATAN</v>
          </cell>
          <cell r="AW454" t="str">
            <v>PNS</v>
          </cell>
        </row>
        <row r="455">
          <cell r="G455" t="str">
            <v>AKTIF</v>
          </cell>
          <cell r="N455" t="str">
            <v>Laki-Laki</v>
          </cell>
          <cell r="AE455" t="str">
            <v>SMA</v>
          </cell>
          <cell r="AG455" t="str">
            <v>SMK</v>
          </cell>
          <cell r="AW455" t="str">
            <v>BLUD</v>
          </cell>
        </row>
        <row r="456">
          <cell r="G456" t="str">
            <v>AKTIF</v>
          </cell>
          <cell r="N456" t="str">
            <v>Laki-Laki</v>
          </cell>
          <cell r="AE456" t="str">
            <v>S1</v>
          </cell>
          <cell r="AG456" t="str">
            <v>MANAJEMEN</v>
          </cell>
          <cell r="AW456" t="str">
            <v>PNS</v>
          </cell>
        </row>
        <row r="457">
          <cell r="G457" t="str">
            <v>AKTIF</v>
          </cell>
          <cell r="N457" t="str">
            <v>Laki-Laki</v>
          </cell>
          <cell r="AE457" t="str">
            <v>SMA</v>
          </cell>
          <cell r="AG457" t="str">
            <v>SMK</v>
          </cell>
          <cell r="AW457" t="str">
            <v>BLUD</v>
          </cell>
        </row>
        <row r="458">
          <cell r="G458" t="str">
            <v>RESIGN</v>
          </cell>
          <cell r="N458" t="str">
            <v>Laki-Laki</v>
          </cell>
          <cell r="AE458" t="str">
            <v>S1</v>
          </cell>
          <cell r="AG458" t="str">
            <v>ILMU KOMUNIKASI</v>
          </cell>
        </row>
        <row r="459">
          <cell r="G459" t="str">
            <v>AKTIF</v>
          </cell>
          <cell r="N459" t="str">
            <v>Laki-Laki</v>
          </cell>
          <cell r="AE459" t="str">
            <v>S1</v>
          </cell>
          <cell r="AG459" t="str">
            <v>TEKNIK INFORMATIKA</v>
          </cell>
          <cell r="AW459" t="str">
            <v>APBD</v>
          </cell>
        </row>
        <row r="460">
          <cell r="G460" t="str">
            <v>AKTIF</v>
          </cell>
          <cell r="N460" t="str">
            <v>Laki-Laki</v>
          </cell>
          <cell r="AE460" t="str">
            <v>SMA</v>
          </cell>
          <cell r="AG460" t="str">
            <v>SMA</v>
          </cell>
          <cell r="AW460" t="str">
            <v>BLUD</v>
          </cell>
        </row>
        <row r="461">
          <cell r="G461" t="str">
            <v>AKTIF</v>
          </cell>
          <cell r="N461" t="str">
            <v>Laki-Laki</v>
          </cell>
          <cell r="AE461" t="str">
            <v>SMA</v>
          </cell>
          <cell r="AG461" t="str">
            <v>SMA</v>
          </cell>
          <cell r="AW461" t="str">
            <v>BLUD</v>
          </cell>
        </row>
        <row r="462">
          <cell r="G462" t="str">
            <v>AKTIF</v>
          </cell>
          <cell r="N462" t="str">
            <v>Laki-Laki</v>
          </cell>
          <cell r="AE462" t="str">
            <v>SMA</v>
          </cell>
          <cell r="AG462" t="str">
            <v>SMA</v>
          </cell>
          <cell r="AW462" t="str">
            <v>BLUD</v>
          </cell>
        </row>
        <row r="463">
          <cell r="G463" t="str">
            <v>AKTIF</v>
          </cell>
          <cell r="N463" t="str">
            <v>Laki-Laki</v>
          </cell>
          <cell r="AE463" t="str">
            <v>S1</v>
          </cell>
          <cell r="AG463" t="str">
            <v>KEPERAWATAN</v>
          </cell>
          <cell r="AW463" t="str">
            <v>APBD</v>
          </cell>
        </row>
        <row r="464">
          <cell r="G464" t="str">
            <v>AKTIF</v>
          </cell>
          <cell r="N464" t="str">
            <v>Laki-Laki</v>
          </cell>
          <cell r="AE464" t="str">
            <v>S1</v>
          </cell>
          <cell r="AG464" t="str">
            <v>MANAJEMEN</v>
          </cell>
          <cell r="AW464" t="str">
            <v>APBD</v>
          </cell>
        </row>
        <row r="465">
          <cell r="G465" t="str">
            <v>AKTIF</v>
          </cell>
          <cell r="N465" t="str">
            <v>Perempuan</v>
          </cell>
          <cell r="AE465" t="str">
            <v>S1 + Profesi</v>
          </cell>
          <cell r="AG465" t="str">
            <v>NERS</v>
          </cell>
          <cell r="AW465" t="str">
            <v>APBD</v>
          </cell>
        </row>
        <row r="466">
          <cell r="G466" t="str">
            <v>AKTIF</v>
          </cell>
          <cell r="N466" t="str">
            <v>Perempuan</v>
          </cell>
          <cell r="AE466" t="str">
            <v>D3</v>
          </cell>
          <cell r="AG466" t="str">
            <v>ANALIS KESEHATAN</v>
          </cell>
          <cell r="AW466" t="str">
            <v>APBD</v>
          </cell>
        </row>
        <row r="467">
          <cell r="G467" t="str">
            <v>AKTIF</v>
          </cell>
          <cell r="N467" t="str">
            <v>Perempuan</v>
          </cell>
          <cell r="AE467" t="str">
            <v>S1</v>
          </cell>
          <cell r="AG467" t="str">
            <v>ADMINISTRASI PERKANTORAN DAN SEKRETARIS</v>
          </cell>
          <cell r="AW467" t="str">
            <v>APBD</v>
          </cell>
        </row>
        <row r="468">
          <cell r="G468" t="str">
            <v>AKTIF</v>
          </cell>
          <cell r="N468" t="str">
            <v>Perempuan</v>
          </cell>
          <cell r="AE468" t="str">
            <v>S1</v>
          </cell>
          <cell r="AG468" t="str">
            <v>ENTOMOLOGI</v>
          </cell>
          <cell r="AW468" t="str">
            <v>PNS</v>
          </cell>
        </row>
        <row r="469">
          <cell r="G469" t="str">
            <v>AKTIF</v>
          </cell>
          <cell r="N469" t="str">
            <v>Perempuan</v>
          </cell>
          <cell r="AE469" t="str">
            <v>S1 + Profesi</v>
          </cell>
          <cell r="AG469" t="str">
            <v>NERS</v>
          </cell>
          <cell r="AW469" t="str">
            <v>PNS</v>
          </cell>
        </row>
        <row r="470">
          <cell r="G470" t="str">
            <v>AKTIF</v>
          </cell>
          <cell r="N470" t="str">
            <v>Perempuan</v>
          </cell>
          <cell r="AE470" t="str">
            <v>D3</v>
          </cell>
          <cell r="AG470" t="str">
            <v>KEPERAWATAN</v>
          </cell>
          <cell r="AW470" t="str">
            <v>PNS</v>
          </cell>
        </row>
        <row r="471">
          <cell r="G471" t="str">
            <v>AKTIF</v>
          </cell>
          <cell r="N471" t="str">
            <v>Perempuan</v>
          </cell>
          <cell r="AE471" t="str">
            <v>S1 + Profesi</v>
          </cell>
          <cell r="AG471" t="str">
            <v>NERS</v>
          </cell>
          <cell r="AW471" t="str">
            <v>PNS</v>
          </cell>
        </row>
        <row r="472">
          <cell r="G472" t="str">
            <v>AKTIF</v>
          </cell>
          <cell r="N472" t="str">
            <v>Perempuan</v>
          </cell>
          <cell r="AE472" t="str">
            <v>D3</v>
          </cell>
          <cell r="AG472" t="str">
            <v>KEPERAWATAN</v>
          </cell>
          <cell r="AW472" t="str">
            <v>PNS</v>
          </cell>
        </row>
        <row r="473">
          <cell r="G473" t="str">
            <v>AKTIF</v>
          </cell>
          <cell r="N473" t="str">
            <v>Laki-Laki</v>
          </cell>
          <cell r="AE473" t="str">
            <v>D3</v>
          </cell>
          <cell r="AG473" t="str">
            <v>KEPERAWATAN</v>
          </cell>
          <cell r="AW473" t="str">
            <v>BLUD</v>
          </cell>
        </row>
        <row r="474">
          <cell r="G474" t="str">
            <v>AKTIF</v>
          </cell>
          <cell r="N474" t="str">
            <v>Perempuan</v>
          </cell>
          <cell r="AE474" t="str">
            <v>S1</v>
          </cell>
          <cell r="AG474" t="str">
            <v>PENDIDIKAN EKONOMI</v>
          </cell>
          <cell r="AW474" t="str">
            <v>BLUD</v>
          </cell>
        </row>
        <row r="475">
          <cell r="G475" t="str">
            <v>AKTIF</v>
          </cell>
          <cell r="N475" t="str">
            <v>Perempuan</v>
          </cell>
          <cell r="AE475" t="str">
            <v>S1 + Profesi</v>
          </cell>
          <cell r="AG475" t="str">
            <v>NERS</v>
          </cell>
          <cell r="AW475" t="str">
            <v>APBD</v>
          </cell>
        </row>
        <row r="476">
          <cell r="G476" t="str">
            <v>AKTIF</v>
          </cell>
          <cell r="N476" t="str">
            <v>Perempuan</v>
          </cell>
          <cell r="AE476" t="str">
            <v>S1</v>
          </cell>
          <cell r="AG476" t="str">
            <v>TEKNIK INFORMATIKA</v>
          </cell>
          <cell r="AW476" t="str">
            <v>APBD</v>
          </cell>
        </row>
        <row r="477">
          <cell r="G477" t="str">
            <v>AKTIF</v>
          </cell>
          <cell r="N477" t="str">
            <v>Perempuan</v>
          </cell>
          <cell r="AE477" t="str">
            <v>D3</v>
          </cell>
          <cell r="AG477" t="str">
            <v>KEBIDANAN</v>
          </cell>
          <cell r="AW477" t="str">
            <v>APBD</v>
          </cell>
        </row>
        <row r="478">
          <cell r="G478" t="str">
            <v>AKTIF</v>
          </cell>
          <cell r="N478" t="str">
            <v>Perempuan</v>
          </cell>
          <cell r="AE478" t="str">
            <v>S2</v>
          </cell>
          <cell r="AG478" t="str">
            <v>KESEHATAN MASYARAKAT</v>
          </cell>
          <cell r="AW478" t="str">
            <v>PNS</v>
          </cell>
        </row>
        <row r="479">
          <cell r="G479" t="str">
            <v>AKTIF</v>
          </cell>
          <cell r="N479" t="str">
            <v>Perempuan</v>
          </cell>
          <cell r="AE479" t="str">
            <v>S1 + Profesi</v>
          </cell>
          <cell r="AG479" t="str">
            <v>NERS</v>
          </cell>
          <cell r="AW479" t="str">
            <v>APBD</v>
          </cell>
        </row>
        <row r="480">
          <cell r="G480" t="str">
            <v>AKTIF</v>
          </cell>
          <cell r="N480" t="str">
            <v>Perempuan</v>
          </cell>
          <cell r="AE480" t="str">
            <v>D3</v>
          </cell>
          <cell r="AG480" t="str">
            <v>TEKNIK RADIODIAGNOSTIK DAN RADIOTERAPI</v>
          </cell>
          <cell r="AW480" t="str">
            <v>PNS</v>
          </cell>
        </row>
        <row r="481">
          <cell r="G481" t="str">
            <v>AKTIF</v>
          </cell>
          <cell r="N481" t="str">
            <v>Perempuan</v>
          </cell>
          <cell r="AE481" t="str">
            <v>D3</v>
          </cell>
          <cell r="AG481" t="str">
            <v>KEBIDANAN</v>
          </cell>
          <cell r="AW481" t="str">
            <v>APBD</v>
          </cell>
        </row>
        <row r="482">
          <cell r="G482" t="str">
            <v>AKTIF</v>
          </cell>
          <cell r="N482" t="str">
            <v>Perempuan</v>
          </cell>
          <cell r="AE482" t="str">
            <v>D3</v>
          </cell>
          <cell r="AG482" t="str">
            <v>ANALIS FARMASI</v>
          </cell>
          <cell r="AW482" t="str">
            <v>PNS</v>
          </cell>
        </row>
        <row r="483">
          <cell r="G483" t="str">
            <v>AKTIF</v>
          </cell>
          <cell r="N483" t="str">
            <v>Perempuan</v>
          </cell>
          <cell r="AE483" t="str">
            <v>D3</v>
          </cell>
          <cell r="AG483" t="str">
            <v>ANALIS KESEHATAN</v>
          </cell>
          <cell r="AW483" t="str">
            <v>APBD</v>
          </cell>
        </row>
        <row r="484">
          <cell r="G484" t="str">
            <v>AKTIF</v>
          </cell>
          <cell r="N484" t="str">
            <v>Perempuan</v>
          </cell>
          <cell r="AE484" t="str">
            <v>D3</v>
          </cell>
          <cell r="AG484" t="str">
            <v>TEKNIK RADIODIAGNOSTIK DAN RADIOTERAPI</v>
          </cell>
          <cell r="AW484" t="str">
            <v>PNS</v>
          </cell>
        </row>
        <row r="485">
          <cell r="G485" t="str">
            <v>AKTIF</v>
          </cell>
          <cell r="N485" t="str">
            <v>Perempuan</v>
          </cell>
          <cell r="AE485" t="str">
            <v>S1</v>
          </cell>
          <cell r="AG485" t="str">
            <v>SAINS</v>
          </cell>
          <cell r="AW485" t="str">
            <v>PNS</v>
          </cell>
        </row>
        <row r="486">
          <cell r="G486" t="str">
            <v>AKTIF</v>
          </cell>
          <cell r="N486" t="str">
            <v>Perempuan</v>
          </cell>
          <cell r="AE486" t="str">
            <v>S2</v>
          </cell>
          <cell r="AG486" t="str">
            <v>KESEHATAN MASYARAKAT</v>
          </cell>
          <cell r="AW486" t="str">
            <v>PNS</v>
          </cell>
        </row>
        <row r="487">
          <cell r="G487" t="str">
            <v>AKTIF</v>
          </cell>
          <cell r="N487" t="str">
            <v>Perempuan</v>
          </cell>
          <cell r="AE487" t="str">
            <v>D3</v>
          </cell>
          <cell r="AG487" t="str">
            <v>FISIOTERAPI</v>
          </cell>
          <cell r="AW487" t="str">
            <v>PNS</v>
          </cell>
        </row>
        <row r="488">
          <cell r="G488" t="str">
            <v>AKTIF</v>
          </cell>
          <cell r="N488" t="str">
            <v>Perempuan</v>
          </cell>
          <cell r="AE488" t="str">
            <v>S2</v>
          </cell>
          <cell r="AG488" t="str">
            <v>ILMU KESEHATAN MASYARAKAT</v>
          </cell>
          <cell r="AW488" t="str">
            <v>PNS</v>
          </cell>
        </row>
        <row r="489">
          <cell r="G489" t="str">
            <v>AKTIF</v>
          </cell>
          <cell r="N489" t="str">
            <v>Perempuan</v>
          </cell>
          <cell r="AE489" t="str">
            <v>S1</v>
          </cell>
          <cell r="AG489" t="str">
            <v>TEKNIK INFORMATIKA</v>
          </cell>
          <cell r="AW489" t="str">
            <v>APBD</v>
          </cell>
        </row>
        <row r="490">
          <cell r="G490" t="str">
            <v>AKTIF</v>
          </cell>
          <cell r="N490" t="str">
            <v>Perempuan</v>
          </cell>
          <cell r="AE490" t="str">
            <v>D3</v>
          </cell>
          <cell r="AG490" t="str">
            <v>FARMASI</v>
          </cell>
          <cell r="AW490" t="str">
            <v>PNS</v>
          </cell>
        </row>
        <row r="491">
          <cell r="G491" t="str">
            <v>AKTIF</v>
          </cell>
          <cell r="N491" t="str">
            <v>Perempuan</v>
          </cell>
          <cell r="AE491" t="str">
            <v>APOTEKER</v>
          </cell>
          <cell r="AG491" t="str">
            <v>APOTEKER</v>
          </cell>
          <cell r="AW491" t="str">
            <v>BLUD</v>
          </cell>
        </row>
        <row r="492">
          <cell r="G492" t="str">
            <v>AKTIF</v>
          </cell>
          <cell r="N492" t="str">
            <v>Perempuan</v>
          </cell>
          <cell r="AE492" t="str">
            <v>D3</v>
          </cell>
          <cell r="AG492" t="str">
            <v>KEPERAWATAN</v>
          </cell>
          <cell r="AW492" t="str">
            <v>PNS</v>
          </cell>
        </row>
        <row r="493">
          <cell r="G493" t="str">
            <v>AKTIF</v>
          </cell>
          <cell r="N493" t="str">
            <v>Perempuan</v>
          </cell>
          <cell r="AE493" t="str">
            <v>D3</v>
          </cell>
          <cell r="AG493" t="str">
            <v>KEPERAWATAN</v>
          </cell>
          <cell r="AW493" t="str">
            <v>PNS</v>
          </cell>
        </row>
        <row r="494">
          <cell r="G494" t="str">
            <v>AKTIF</v>
          </cell>
          <cell r="N494" t="str">
            <v>Perempuan</v>
          </cell>
          <cell r="AE494" t="str">
            <v>D3</v>
          </cell>
          <cell r="AG494" t="str">
            <v>KEPERAWATAN</v>
          </cell>
          <cell r="AW494" t="str">
            <v>APBD</v>
          </cell>
        </row>
        <row r="495">
          <cell r="G495" t="str">
            <v>AKTIF</v>
          </cell>
          <cell r="N495" t="str">
            <v>Perempuan</v>
          </cell>
          <cell r="AE495" t="str">
            <v>D3</v>
          </cell>
          <cell r="AG495" t="str">
            <v>KEPERAWATAN</v>
          </cell>
          <cell r="AW495" t="str">
            <v>APBD</v>
          </cell>
        </row>
        <row r="496">
          <cell r="G496" t="str">
            <v>AKTIF</v>
          </cell>
          <cell r="N496" t="str">
            <v>Perempuan</v>
          </cell>
          <cell r="AE496" t="str">
            <v>D3</v>
          </cell>
          <cell r="AG496" t="str">
            <v>KEPERAWATAN</v>
          </cell>
          <cell r="AW496" t="str">
            <v>PNS</v>
          </cell>
        </row>
        <row r="497">
          <cell r="G497" t="str">
            <v>AKTIF</v>
          </cell>
          <cell r="N497" t="str">
            <v>Perempuan</v>
          </cell>
          <cell r="AE497" t="str">
            <v>S1 + Profesi</v>
          </cell>
          <cell r="AG497" t="str">
            <v>NERS</v>
          </cell>
          <cell r="AW497" t="str">
            <v>APBD</v>
          </cell>
        </row>
        <row r="498">
          <cell r="G498" t="str">
            <v>AKTIF</v>
          </cell>
          <cell r="N498" t="str">
            <v>Perempuan</v>
          </cell>
          <cell r="AE498" t="str">
            <v>D3</v>
          </cell>
          <cell r="AG498" t="str">
            <v>KEBIDANAN</v>
          </cell>
          <cell r="AW498" t="str">
            <v>PNS</v>
          </cell>
        </row>
        <row r="499">
          <cell r="G499" t="str">
            <v>AKTIF</v>
          </cell>
          <cell r="N499" t="str">
            <v>Perempuan</v>
          </cell>
          <cell r="AE499" t="str">
            <v>SMA</v>
          </cell>
          <cell r="AG499" t="str">
            <v>SMA</v>
          </cell>
          <cell r="AW499" t="str">
            <v>BLUD</v>
          </cell>
        </row>
        <row r="500">
          <cell r="G500" t="str">
            <v>AKTIF</v>
          </cell>
          <cell r="N500" t="str">
            <v>Perempuan</v>
          </cell>
          <cell r="AE500" t="str">
            <v>S1 + Profesi</v>
          </cell>
          <cell r="AG500" t="str">
            <v>NERS</v>
          </cell>
          <cell r="AW500" t="str">
            <v>APBD</v>
          </cell>
        </row>
        <row r="501">
          <cell r="G501" t="str">
            <v>AKTIF</v>
          </cell>
          <cell r="N501" t="str">
            <v>Perempuan</v>
          </cell>
          <cell r="AE501" t="str">
            <v>D4</v>
          </cell>
          <cell r="AG501" t="str">
            <v>GIZI</v>
          </cell>
          <cell r="AW501" t="str">
            <v>PNS</v>
          </cell>
        </row>
        <row r="502">
          <cell r="G502" t="str">
            <v>AKTIF</v>
          </cell>
          <cell r="N502" t="str">
            <v>Perempuan</v>
          </cell>
          <cell r="AE502" t="str">
            <v>S1 + Profesi</v>
          </cell>
          <cell r="AG502" t="str">
            <v>NERS</v>
          </cell>
          <cell r="AW502" t="str">
            <v>BLUD</v>
          </cell>
        </row>
        <row r="503">
          <cell r="G503" t="str">
            <v>AKTIF</v>
          </cell>
          <cell r="N503" t="str">
            <v>Perempuan</v>
          </cell>
          <cell r="AE503" t="str">
            <v>S1 + Profesi</v>
          </cell>
          <cell r="AG503" t="str">
            <v>NERS</v>
          </cell>
          <cell r="AW503" t="str">
            <v>APBD</v>
          </cell>
        </row>
        <row r="504">
          <cell r="G504" t="str">
            <v>AKTIF</v>
          </cell>
          <cell r="N504" t="str">
            <v>Laki-Laki</v>
          </cell>
          <cell r="AE504" t="str">
            <v>SMA</v>
          </cell>
          <cell r="AG504" t="str">
            <v>SMK</v>
          </cell>
          <cell r="AW504" t="str">
            <v>BLUD</v>
          </cell>
        </row>
        <row r="505">
          <cell r="G505" t="str">
            <v>AKTIF</v>
          </cell>
          <cell r="N505" t="str">
            <v>Perempuan</v>
          </cell>
          <cell r="AE505" t="str">
            <v>S1</v>
          </cell>
          <cell r="AG505" t="str">
            <v>KESEHATAN LINGKUNGAN</v>
          </cell>
          <cell r="AW505" t="str">
            <v>PNS</v>
          </cell>
        </row>
        <row r="506">
          <cell r="G506" t="str">
            <v>AKTIF</v>
          </cell>
          <cell r="N506" t="str">
            <v>Perempuan</v>
          </cell>
          <cell r="AE506" t="str">
            <v>S1 + Profesi</v>
          </cell>
          <cell r="AG506" t="str">
            <v>NERS</v>
          </cell>
          <cell r="AW506" t="str">
            <v>APBD</v>
          </cell>
        </row>
        <row r="507">
          <cell r="G507" t="str">
            <v>AKTIF</v>
          </cell>
          <cell r="N507" t="str">
            <v>Laki-Laki</v>
          </cell>
          <cell r="AE507" t="str">
            <v>S1</v>
          </cell>
          <cell r="AG507" t="str">
            <v>PENDIDIKAN EKONOMI</v>
          </cell>
          <cell r="AW507" t="str">
            <v>BLUD</v>
          </cell>
        </row>
        <row r="508">
          <cell r="G508" t="str">
            <v>AKTIF</v>
          </cell>
          <cell r="N508" t="str">
            <v>Perempuan</v>
          </cell>
          <cell r="AE508" t="str">
            <v>S1 + Profesi</v>
          </cell>
          <cell r="AG508" t="str">
            <v>NERS</v>
          </cell>
          <cell r="AW508" t="str">
            <v>BLUD</v>
          </cell>
        </row>
        <row r="509">
          <cell r="G509" t="str">
            <v>AKTIF</v>
          </cell>
          <cell r="N509" t="str">
            <v>Perempuan</v>
          </cell>
          <cell r="AE509" t="str">
            <v>D3</v>
          </cell>
          <cell r="AG509" t="str">
            <v>REKAM MEDIS DAN INFORMASI KESEHATAN</v>
          </cell>
          <cell r="AW509" t="str">
            <v>PNS</v>
          </cell>
        </row>
        <row r="510">
          <cell r="G510" t="str">
            <v>AKTIF</v>
          </cell>
          <cell r="N510" t="str">
            <v>Perempuan</v>
          </cell>
          <cell r="AE510" t="str">
            <v>D3</v>
          </cell>
          <cell r="AG510" t="str">
            <v>KEPERAWATAN</v>
          </cell>
          <cell r="AW510" t="str">
            <v>APBD</v>
          </cell>
        </row>
        <row r="511">
          <cell r="G511" t="str">
            <v>AKTIF</v>
          </cell>
          <cell r="N511" t="str">
            <v>Perempuan</v>
          </cell>
          <cell r="AE511" t="str">
            <v>D3</v>
          </cell>
          <cell r="AG511" t="str">
            <v>KEPERAWATAN</v>
          </cell>
          <cell r="AW511" t="str">
            <v>APBD</v>
          </cell>
        </row>
        <row r="512">
          <cell r="G512" t="str">
            <v>AKTIF</v>
          </cell>
          <cell r="N512" t="str">
            <v>Perempuan</v>
          </cell>
          <cell r="AE512" t="str">
            <v>S1</v>
          </cell>
          <cell r="AG512" t="str">
            <v>PENDIDIKAN EKONOMI</v>
          </cell>
          <cell r="AW512" t="str">
            <v>APBD</v>
          </cell>
        </row>
        <row r="513">
          <cell r="G513" t="str">
            <v>AKTIF</v>
          </cell>
          <cell r="N513" t="str">
            <v>Perempuan</v>
          </cell>
          <cell r="AE513" t="str">
            <v>S1 + Profesi</v>
          </cell>
          <cell r="AG513" t="str">
            <v>NERS</v>
          </cell>
          <cell r="AW513" t="str">
            <v>APBD</v>
          </cell>
        </row>
        <row r="514">
          <cell r="G514" t="str">
            <v>AKTIF</v>
          </cell>
          <cell r="N514" t="str">
            <v>Laki-Laki</v>
          </cell>
          <cell r="AE514" t="str">
            <v>S1 + Profesi</v>
          </cell>
          <cell r="AG514" t="str">
            <v>NERS</v>
          </cell>
          <cell r="AW514" t="str">
            <v>PNS</v>
          </cell>
        </row>
        <row r="515">
          <cell r="G515" t="str">
            <v>AKTIF</v>
          </cell>
          <cell r="N515" t="str">
            <v>Laki-Laki</v>
          </cell>
          <cell r="AE515" t="str">
            <v>S1</v>
          </cell>
          <cell r="AG515" t="str">
            <v>TEKNIK INFORMATIKA</v>
          </cell>
          <cell r="AW515" t="str">
            <v>APBD</v>
          </cell>
        </row>
        <row r="516">
          <cell r="G516" t="str">
            <v>AKTIF</v>
          </cell>
          <cell r="N516" t="str">
            <v>Laki-Laki</v>
          </cell>
          <cell r="AE516" t="str">
            <v>S1</v>
          </cell>
          <cell r="AG516" t="str">
            <v>AKUTANSI</v>
          </cell>
          <cell r="AW516" t="str">
            <v>PNS</v>
          </cell>
        </row>
        <row r="517">
          <cell r="G517" t="str">
            <v>AKTIF</v>
          </cell>
          <cell r="N517" t="str">
            <v>Perempuan</v>
          </cell>
          <cell r="AE517" t="str">
            <v>SMA</v>
          </cell>
          <cell r="AG517" t="str">
            <v>SMA</v>
          </cell>
          <cell r="AW517" t="str">
            <v>BLUD</v>
          </cell>
        </row>
        <row r="518">
          <cell r="G518" t="str">
            <v>AKTIF</v>
          </cell>
          <cell r="N518" t="str">
            <v>Perempuan</v>
          </cell>
          <cell r="AE518" t="str">
            <v>S1 + Profesi</v>
          </cell>
          <cell r="AG518" t="str">
            <v>NERS</v>
          </cell>
          <cell r="AW518" t="str">
            <v>PNS</v>
          </cell>
        </row>
        <row r="519">
          <cell r="G519" t="str">
            <v>AKTIF</v>
          </cell>
          <cell r="N519" t="str">
            <v>Perempuan</v>
          </cell>
          <cell r="AE519" t="str">
            <v>D3</v>
          </cell>
          <cell r="AG519" t="str">
            <v>ANALIS FARMASI DAN MAKANAN</v>
          </cell>
          <cell r="AW519" t="str">
            <v>APBD</v>
          </cell>
        </row>
        <row r="520">
          <cell r="G520" t="str">
            <v>AKTIF</v>
          </cell>
          <cell r="N520" t="str">
            <v>Perempuan</v>
          </cell>
          <cell r="AE520" t="str">
            <v>S1</v>
          </cell>
          <cell r="AG520" t="str">
            <v>EPIDEMIOLOGI</v>
          </cell>
          <cell r="AW520" t="str">
            <v>PNS</v>
          </cell>
        </row>
        <row r="521">
          <cell r="G521" t="str">
            <v>RESIGN</v>
          </cell>
          <cell r="N521" t="str">
            <v>Perempuan</v>
          </cell>
          <cell r="AE521" t="str">
            <v>SMA</v>
          </cell>
          <cell r="AG521" t="str">
            <v>SMA</v>
          </cell>
          <cell r="AW521" t="str">
            <v>BLUD</v>
          </cell>
        </row>
        <row r="522">
          <cell r="G522" t="str">
            <v>AKTIF</v>
          </cell>
          <cell r="N522" t="str">
            <v>Perempuan</v>
          </cell>
          <cell r="AE522" t="str">
            <v>S1</v>
          </cell>
          <cell r="AG522" t="str">
            <v>SISTEM INFORMASI</v>
          </cell>
          <cell r="AW522" t="str">
            <v>APBD</v>
          </cell>
        </row>
        <row r="523">
          <cell r="G523" t="str">
            <v>AKTIF</v>
          </cell>
          <cell r="N523" t="str">
            <v>Perempuan</v>
          </cell>
          <cell r="AE523" t="str">
            <v>S1</v>
          </cell>
          <cell r="AG523" t="str">
            <v>KESEHATAN MASYARAKAT</v>
          </cell>
          <cell r="AW523" t="str">
            <v>APBD</v>
          </cell>
        </row>
        <row r="524">
          <cell r="G524" t="str">
            <v>AKTIF</v>
          </cell>
          <cell r="N524" t="str">
            <v>Perempuan</v>
          </cell>
          <cell r="AE524" t="str">
            <v>S1 + Profesi</v>
          </cell>
          <cell r="AG524" t="str">
            <v>NERS</v>
          </cell>
          <cell r="AW524" t="str">
            <v>BLUD</v>
          </cell>
        </row>
        <row r="525">
          <cell r="G525" t="str">
            <v>AKTIF</v>
          </cell>
          <cell r="N525" t="str">
            <v>Perempuan</v>
          </cell>
          <cell r="AE525" t="str">
            <v>S1</v>
          </cell>
          <cell r="AG525" t="str">
            <v>FARMASI</v>
          </cell>
          <cell r="AW525" t="str">
            <v>PNS</v>
          </cell>
        </row>
        <row r="526">
          <cell r="G526" t="str">
            <v>AKTIF</v>
          </cell>
          <cell r="N526" t="str">
            <v>Perempuan</v>
          </cell>
          <cell r="AE526" t="str">
            <v>SMA</v>
          </cell>
          <cell r="AG526" t="str">
            <v>SMA</v>
          </cell>
          <cell r="AW526" t="str">
            <v>BLUD</v>
          </cell>
        </row>
        <row r="527">
          <cell r="G527" t="str">
            <v>AKTIF</v>
          </cell>
          <cell r="N527" t="str">
            <v>Perempuan</v>
          </cell>
          <cell r="AE527" t="str">
            <v>D3</v>
          </cell>
          <cell r="AG527" t="str">
            <v>TEKNIK RADIODIAGNOSTIK DAN RADIOTERAPI</v>
          </cell>
          <cell r="AW527" t="str">
            <v>APBD</v>
          </cell>
        </row>
        <row r="528">
          <cell r="G528" t="str">
            <v>AKTIF</v>
          </cell>
          <cell r="N528" t="str">
            <v>Perempuan</v>
          </cell>
          <cell r="AE528" t="str">
            <v>APOTEKER</v>
          </cell>
          <cell r="AG528" t="str">
            <v>APOTEKER</v>
          </cell>
          <cell r="AW528" t="str">
            <v>BLUD</v>
          </cell>
        </row>
        <row r="529">
          <cell r="G529" t="str">
            <v>AKTIF</v>
          </cell>
          <cell r="N529" t="str">
            <v>Laki-Laki</v>
          </cell>
          <cell r="AE529" t="str">
            <v>D3</v>
          </cell>
          <cell r="AG529" t="str">
            <v>KEPERAWATAN</v>
          </cell>
          <cell r="AW529" t="str">
            <v>APBD</v>
          </cell>
        </row>
        <row r="530">
          <cell r="G530" t="str">
            <v>AKTIF</v>
          </cell>
          <cell r="N530" t="str">
            <v>Laki-Laki</v>
          </cell>
          <cell r="AE530" t="str">
            <v>S1</v>
          </cell>
          <cell r="AG530" t="str">
            <v>TEKNIK INFORMATIKA</v>
          </cell>
          <cell r="AW530" t="str">
            <v>APBD</v>
          </cell>
        </row>
        <row r="531">
          <cell r="G531" t="str">
            <v>AKTIF</v>
          </cell>
          <cell r="N531" t="str">
            <v>Laki-Laki</v>
          </cell>
          <cell r="AE531" t="str">
            <v>S1</v>
          </cell>
          <cell r="AG531" t="str">
            <v>TEKNIK INFORMATIKA</v>
          </cell>
          <cell r="AW531" t="str">
            <v>APBD</v>
          </cell>
        </row>
        <row r="532">
          <cell r="G532" t="str">
            <v>AKTIF</v>
          </cell>
          <cell r="N532" t="str">
            <v>Laki-Laki</v>
          </cell>
          <cell r="AE532" t="str">
            <v>S1 + Profesi</v>
          </cell>
          <cell r="AG532" t="str">
            <v>NERS</v>
          </cell>
          <cell r="AW532" t="str">
            <v>APBD</v>
          </cell>
        </row>
        <row r="533">
          <cell r="G533" t="str">
            <v>AKTIF</v>
          </cell>
          <cell r="N533" t="str">
            <v>Perempuan</v>
          </cell>
          <cell r="AE533" t="str">
            <v>D3</v>
          </cell>
          <cell r="AG533" t="str">
            <v>KEBIDANAN</v>
          </cell>
          <cell r="AW533" t="str">
            <v>APBD</v>
          </cell>
        </row>
        <row r="534">
          <cell r="G534" t="str">
            <v>AKTIF</v>
          </cell>
          <cell r="N534" t="str">
            <v>Perempuan</v>
          </cell>
          <cell r="AE534" t="str">
            <v>D3</v>
          </cell>
          <cell r="AG534" t="str">
            <v>ANALIS KESEHATAN</v>
          </cell>
          <cell r="AW534" t="str">
            <v>APBD</v>
          </cell>
        </row>
        <row r="535">
          <cell r="G535" t="str">
            <v>AKTIF</v>
          </cell>
          <cell r="N535" t="str">
            <v>Laki-Laki</v>
          </cell>
          <cell r="AE535" t="str">
            <v>SD</v>
          </cell>
          <cell r="AG535" t="str">
            <v>SD</v>
          </cell>
          <cell r="AW535" t="str">
            <v>BLUD</v>
          </cell>
        </row>
        <row r="536">
          <cell r="G536" t="str">
            <v>AKTIF</v>
          </cell>
          <cell r="N536" t="str">
            <v>Perempuan</v>
          </cell>
          <cell r="AE536" t="str">
            <v>S1 + Profesi</v>
          </cell>
          <cell r="AG536" t="str">
            <v>NERS</v>
          </cell>
          <cell r="AW536" t="str">
            <v>PNS</v>
          </cell>
        </row>
        <row r="537">
          <cell r="G537" t="str">
            <v>AKTIF</v>
          </cell>
          <cell r="N537" t="str">
            <v>Perempuan</v>
          </cell>
          <cell r="AE537" t="str">
            <v>S1 + Profesi</v>
          </cell>
          <cell r="AG537" t="str">
            <v>NERS</v>
          </cell>
          <cell r="AW537" t="str">
            <v>PNS</v>
          </cell>
        </row>
        <row r="538">
          <cell r="G538" t="str">
            <v>AKTIF</v>
          </cell>
          <cell r="N538" t="str">
            <v>Perempuan</v>
          </cell>
          <cell r="AE538" t="str">
            <v>S1</v>
          </cell>
          <cell r="AG538" t="str">
            <v>SAINS</v>
          </cell>
          <cell r="AW538" t="str">
            <v>APBD</v>
          </cell>
        </row>
        <row r="539">
          <cell r="G539" t="str">
            <v>AKTIF</v>
          </cell>
          <cell r="N539" t="str">
            <v>Perempuan</v>
          </cell>
          <cell r="AE539" t="str">
            <v>D3</v>
          </cell>
          <cell r="AG539" t="str">
            <v>KEPERAWATAN</v>
          </cell>
          <cell r="AW539" t="str">
            <v>PNS</v>
          </cell>
        </row>
        <row r="540">
          <cell r="G540" t="str">
            <v>AKTIF</v>
          </cell>
          <cell r="N540" t="str">
            <v>Perempuan</v>
          </cell>
          <cell r="AE540" t="str">
            <v>D3</v>
          </cell>
          <cell r="AG540" t="str">
            <v>KEBIDANAN</v>
          </cell>
          <cell r="AW540" t="str">
            <v>APBD</v>
          </cell>
        </row>
        <row r="541">
          <cell r="G541" t="str">
            <v>AKTIF</v>
          </cell>
          <cell r="N541" t="str">
            <v>Perempuan</v>
          </cell>
          <cell r="AE541" t="str">
            <v>S1 + Profesi</v>
          </cell>
          <cell r="AG541" t="str">
            <v>NERS</v>
          </cell>
          <cell r="AW541" t="str">
            <v>PNS</v>
          </cell>
        </row>
        <row r="542">
          <cell r="G542" t="str">
            <v>AKTIF</v>
          </cell>
          <cell r="N542" t="str">
            <v>Laki-Laki</v>
          </cell>
          <cell r="AE542" t="str">
            <v>D3</v>
          </cell>
          <cell r="AG542" t="str">
            <v>KEPERAWATAN</v>
          </cell>
          <cell r="AW542" t="str">
            <v>APBD</v>
          </cell>
        </row>
        <row r="543">
          <cell r="G543" t="str">
            <v>AKTIF</v>
          </cell>
          <cell r="N543" t="str">
            <v>Perempuan</v>
          </cell>
          <cell r="AE543" t="str">
            <v>D3</v>
          </cell>
          <cell r="AG543" t="str">
            <v>ANALIS KESEHATAN</v>
          </cell>
          <cell r="AW543" t="str">
            <v>APBD</v>
          </cell>
        </row>
        <row r="544">
          <cell r="G544" t="str">
            <v>AKTIF</v>
          </cell>
          <cell r="N544" t="str">
            <v>Perempuan</v>
          </cell>
          <cell r="AE544" t="str">
            <v>S1</v>
          </cell>
          <cell r="AG544" t="str">
            <v>SASTRA INGGRIS</v>
          </cell>
          <cell r="AW544" t="str">
            <v>APBD</v>
          </cell>
        </row>
        <row r="545">
          <cell r="G545" t="str">
            <v>AKTIF</v>
          </cell>
          <cell r="N545" t="str">
            <v>Perempuan</v>
          </cell>
          <cell r="AE545" t="str">
            <v>D3</v>
          </cell>
          <cell r="AG545" t="str">
            <v>GIZI</v>
          </cell>
          <cell r="AW545" t="str">
            <v>APBD</v>
          </cell>
        </row>
        <row r="546">
          <cell r="G546" t="str">
            <v>AKTIF</v>
          </cell>
          <cell r="N546" t="str">
            <v>Perempuan</v>
          </cell>
          <cell r="AE546" t="str">
            <v>S1 + Profesi</v>
          </cell>
          <cell r="AG546" t="str">
            <v>NERS</v>
          </cell>
          <cell r="AW546" t="str">
            <v>PNS</v>
          </cell>
        </row>
        <row r="547">
          <cell r="G547" t="str">
            <v>AKTIF</v>
          </cell>
          <cell r="N547" t="str">
            <v>Perempuan</v>
          </cell>
          <cell r="AE547" t="str">
            <v>D3</v>
          </cell>
          <cell r="AG547" t="str">
            <v>KEPERAWATAN</v>
          </cell>
          <cell r="AW547" t="str">
            <v>APBD</v>
          </cell>
        </row>
        <row r="548">
          <cell r="G548" t="str">
            <v>AKTIF</v>
          </cell>
          <cell r="N548" t="str">
            <v>Laki-Laki</v>
          </cell>
          <cell r="AE548" t="str">
            <v>S1</v>
          </cell>
          <cell r="AG548" t="str">
            <v>AKUTANSI</v>
          </cell>
          <cell r="AW548" t="str">
            <v>APBD</v>
          </cell>
        </row>
        <row r="549">
          <cell r="G549" t="str">
            <v>AKTIF</v>
          </cell>
          <cell r="N549" t="str">
            <v>Perempuan</v>
          </cell>
          <cell r="AE549" t="str">
            <v>SMA</v>
          </cell>
          <cell r="AG549" t="str">
            <v>SMA</v>
          </cell>
          <cell r="AW549" t="str">
            <v>BLUD</v>
          </cell>
        </row>
        <row r="550">
          <cell r="G550" t="str">
            <v>AKTIF</v>
          </cell>
          <cell r="N550" t="str">
            <v>Perempuan</v>
          </cell>
          <cell r="AE550" t="str">
            <v>D3</v>
          </cell>
          <cell r="AG550" t="str">
            <v>KEBIDANAN</v>
          </cell>
          <cell r="AW550" t="str">
            <v>APBD</v>
          </cell>
        </row>
        <row r="551">
          <cell r="G551" t="str">
            <v>AKTIF</v>
          </cell>
          <cell r="N551" t="str">
            <v>Laki-Laki</v>
          </cell>
          <cell r="AE551" t="str">
            <v>SMA</v>
          </cell>
          <cell r="AG551" t="str">
            <v>SMK</v>
          </cell>
          <cell r="AW551" t="str">
            <v>APBD</v>
          </cell>
        </row>
        <row r="552">
          <cell r="G552" t="str">
            <v>AKTIF</v>
          </cell>
          <cell r="N552" t="str">
            <v>Perempuan</v>
          </cell>
          <cell r="AE552" t="str">
            <v>S1 + Profesi</v>
          </cell>
          <cell r="AG552" t="str">
            <v>NERS</v>
          </cell>
          <cell r="AW552" t="str">
            <v>APBD</v>
          </cell>
        </row>
        <row r="553">
          <cell r="G553" t="str">
            <v>AKTIF</v>
          </cell>
          <cell r="N553" t="str">
            <v>Perempuan</v>
          </cell>
          <cell r="AE553" t="str">
            <v>D3</v>
          </cell>
          <cell r="AG553" t="str">
            <v>MANAJEMEN INFORMATIKA DAN KOMPUTER</v>
          </cell>
          <cell r="AW553" t="str">
            <v>APBD</v>
          </cell>
        </row>
        <row r="554">
          <cell r="G554" t="str">
            <v>AKTIF</v>
          </cell>
          <cell r="N554" t="str">
            <v>Perempuan</v>
          </cell>
          <cell r="AE554" t="str">
            <v>D3</v>
          </cell>
          <cell r="AG554" t="str">
            <v>KEBIDANAN</v>
          </cell>
          <cell r="AW554" t="str">
            <v>APBD</v>
          </cell>
        </row>
        <row r="555">
          <cell r="G555" t="str">
            <v>AKTIF</v>
          </cell>
          <cell r="N555" t="str">
            <v>Laki-Laki</v>
          </cell>
          <cell r="AE555" t="str">
            <v>S1 + Profesi</v>
          </cell>
          <cell r="AG555" t="str">
            <v>NERS</v>
          </cell>
          <cell r="AW555" t="str">
            <v>PNS</v>
          </cell>
        </row>
        <row r="556">
          <cell r="G556" t="str">
            <v>AKTIF</v>
          </cell>
          <cell r="N556" t="str">
            <v>Perempuan</v>
          </cell>
          <cell r="AE556" t="str">
            <v>D3</v>
          </cell>
          <cell r="AG556" t="str">
            <v>ANALIS KESEHATAN</v>
          </cell>
          <cell r="AW556" t="str">
            <v>APBD</v>
          </cell>
        </row>
        <row r="557">
          <cell r="G557" t="str">
            <v>AKTIF</v>
          </cell>
          <cell r="N557" t="str">
            <v>Perempuan</v>
          </cell>
          <cell r="AE557" t="str">
            <v>D3</v>
          </cell>
          <cell r="AG557" t="str">
            <v>ANALIS KESEHATAN</v>
          </cell>
          <cell r="AW557" t="str">
            <v>PNS</v>
          </cell>
        </row>
        <row r="558">
          <cell r="G558" t="str">
            <v>AKTIF</v>
          </cell>
          <cell r="N558" t="str">
            <v>Perempuan</v>
          </cell>
          <cell r="AE558" t="str">
            <v>S1 + Profesi</v>
          </cell>
          <cell r="AG558" t="str">
            <v>NERS</v>
          </cell>
          <cell r="AW558" t="str">
            <v>PNS</v>
          </cell>
        </row>
        <row r="559">
          <cell r="G559" t="str">
            <v>AKTIF</v>
          </cell>
          <cell r="N559" t="str">
            <v>Perempuan</v>
          </cell>
          <cell r="AE559" t="str">
            <v>D3</v>
          </cell>
          <cell r="AG559" t="str">
            <v>KEBIDANAN</v>
          </cell>
          <cell r="AW559" t="str">
            <v>APBD</v>
          </cell>
        </row>
        <row r="560">
          <cell r="G560" t="str">
            <v>AKTIF</v>
          </cell>
          <cell r="N560" t="str">
            <v>Perempuan</v>
          </cell>
          <cell r="AE560" t="str">
            <v>S1 + Profesi</v>
          </cell>
          <cell r="AG560" t="str">
            <v>NERS</v>
          </cell>
          <cell r="AW560" t="str">
            <v>APBD</v>
          </cell>
        </row>
        <row r="561">
          <cell r="G561" t="str">
            <v>AKTIF</v>
          </cell>
          <cell r="N561" t="str">
            <v>Laki-Laki</v>
          </cell>
          <cell r="AE561" t="str">
            <v>S1</v>
          </cell>
          <cell r="AG561" t="str">
            <v>TEKNIK INFORMATIKA</v>
          </cell>
          <cell r="AW561" t="str">
            <v>APBD</v>
          </cell>
        </row>
        <row r="562">
          <cell r="G562" t="str">
            <v>AKTIF</v>
          </cell>
          <cell r="N562" t="str">
            <v>Perempuan</v>
          </cell>
          <cell r="AE562" t="str">
            <v>D3</v>
          </cell>
          <cell r="AG562" t="str">
            <v>ANALIS KESEHATAN</v>
          </cell>
          <cell r="AW562" t="str">
            <v>BLUD</v>
          </cell>
        </row>
        <row r="563">
          <cell r="G563" t="str">
            <v>AKTIF</v>
          </cell>
          <cell r="N563" t="str">
            <v>Perempuan</v>
          </cell>
          <cell r="AE563" t="str">
            <v>D3</v>
          </cell>
          <cell r="AG563" t="str">
            <v>KEPERAWATAN</v>
          </cell>
          <cell r="AW563" t="str">
            <v>APBD</v>
          </cell>
        </row>
        <row r="564">
          <cell r="G564" t="str">
            <v>AKTIF</v>
          </cell>
          <cell r="N564" t="str">
            <v>Perempuan</v>
          </cell>
          <cell r="AE564" t="str">
            <v>D3</v>
          </cell>
          <cell r="AG564" t="str">
            <v>GIZI</v>
          </cell>
          <cell r="AW564" t="str">
            <v>APBD</v>
          </cell>
        </row>
        <row r="565">
          <cell r="G565" t="str">
            <v>AKTIF</v>
          </cell>
          <cell r="N565" t="str">
            <v>Perempuan</v>
          </cell>
          <cell r="AE565" t="str">
            <v>SMA</v>
          </cell>
          <cell r="AG565" t="str">
            <v>SMA</v>
          </cell>
          <cell r="AW565" t="str">
            <v>BLUD</v>
          </cell>
        </row>
        <row r="566">
          <cell r="G566" t="str">
            <v>AKTIF</v>
          </cell>
          <cell r="N566" t="str">
            <v>Perempuan</v>
          </cell>
          <cell r="AE566" t="str">
            <v>D3</v>
          </cell>
          <cell r="AG566" t="str">
            <v>KEPERAWATAN</v>
          </cell>
          <cell r="AW566" t="str">
            <v>APBD</v>
          </cell>
        </row>
        <row r="567">
          <cell r="G567" t="str">
            <v>AKTIF</v>
          </cell>
          <cell r="N567" t="str">
            <v>Perempuan</v>
          </cell>
          <cell r="AE567" t="str">
            <v>S1 + Profesi</v>
          </cell>
          <cell r="AG567" t="str">
            <v>NERS</v>
          </cell>
          <cell r="AW567" t="str">
            <v>APBD</v>
          </cell>
        </row>
        <row r="568">
          <cell r="G568" t="str">
            <v>AKTIF</v>
          </cell>
          <cell r="N568" t="str">
            <v>Perempuan</v>
          </cell>
          <cell r="AE568" t="str">
            <v>S1</v>
          </cell>
          <cell r="AG568" t="str">
            <v>KESEHATAN MASYARAKAT</v>
          </cell>
          <cell r="AW568" t="str">
            <v>APBD</v>
          </cell>
        </row>
        <row r="569">
          <cell r="G569" t="str">
            <v>AKTIF</v>
          </cell>
          <cell r="N569" t="str">
            <v>Perempuan</v>
          </cell>
          <cell r="AE569" t="str">
            <v>S1 + Profesi</v>
          </cell>
          <cell r="AG569" t="str">
            <v>NERS</v>
          </cell>
          <cell r="AW569" t="str">
            <v>BLUD</v>
          </cell>
        </row>
        <row r="570">
          <cell r="G570" t="str">
            <v>AKTIF</v>
          </cell>
          <cell r="N570" t="str">
            <v>Perempuan</v>
          </cell>
          <cell r="AE570" t="str">
            <v>D3</v>
          </cell>
          <cell r="AG570" t="str">
            <v>KEPERAWATAN</v>
          </cell>
          <cell r="AW570" t="str">
            <v>APBD</v>
          </cell>
        </row>
        <row r="571">
          <cell r="G571" t="str">
            <v>AKTIF</v>
          </cell>
          <cell r="N571" t="str">
            <v>Perempuan</v>
          </cell>
          <cell r="AE571" t="str">
            <v>D3</v>
          </cell>
          <cell r="AG571" t="str">
            <v>KEPERAWATAN</v>
          </cell>
          <cell r="AW571" t="str">
            <v>PNS</v>
          </cell>
        </row>
        <row r="572">
          <cell r="G572" t="str">
            <v>AKTIF</v>
          </cell>
          <cell r="N572" t="str">
            <v>Perempuan</v>
          </cell>
          <cell r="AE572" t="str">
            <v>D3</v>
          </cell>
          <cell r="AG572" t="str">
            <v>MANAJEMEN INFORMATIKA DAN KOMPUTER</v>
          </cell>
          <cell r="AW572" t="str">
            <v>APBD</v>
          </cell>
        </row>
        <row r="573">
          <cell r="G573" t="str">
            <v>AKTIF</v>
          </cell>
          <cell r="N573" t="str">
            <v>Laki-Laki</v>
          </cell>
          <cell r="AE573" t="str">
            <v>D3</v>
          </cell>
          <cell r="AG573" t="str">
            <v>TEKNIK RADIODIAGNOSTIK DAN RADIOTERAPI</v>
          </cell>
          <cell r="AW573" t="str">
            <v>BLUD</v>
          </cell>
        </row>
        <row r="574">
          <cell r="G574" t="str">
            <v>AKTIF</v>
          </cell>
          <cell r="N574" t="str">
            <v>Perempuan</v>
          </cell>
          <cell r="AE574" t="str">
            <v>S1 + Profesi</v>
          </cell>
          <cell r="AG574" t="str">
            <v>NERS</v>
          </cell>
          <cell r="AW574" t="str">
            <v>PNS</v>
          </cell>
        </row>
        <row r="575">
          <cell r="G575" t="str">
            <v>AKTIF</v>
          </cell>
          <cell r="N575" t="str">
            <v>Laki-Laki</v>
          </cell>
          <cell r="AE575" t="str">
            <v>D3</v>
          </cell>
          <cell r="AG575" t="str">
            <v>TEKNIK ELEKTROMEDIS</v>
          </cell>
          <cell r="AW575" t="str">
            <v>APBD</v>
          </cell>
        </row>
        <row r="576">
          <cell r="G576" t="str">
            <v>AKTIF</v>
          </cell>
          <cell r="N576" t="str">
            <v>Laki-Laki</v>
          </cell>
          <cell r="AE576" t="str">
            <v>S1</v>
          </cell>
          <cell r="AG576" t="str">
            <v>TEKNIK KOMPUTER DAN INFORMATIKA</v>
          </cell>
          <cell r="AW576" t="str">
            <v>APBD</v>
          </cell>
        </row>
        <row r="577">
          <cell r="G577" t="str">
            <v>AKTIF</v>
          </cell>
          <cell r="N577" t="str">
            <v>Laki-Laki</v>
          </cell>
          <cell r="AE577" t="str">
            <v>SMA</v>
          </cell>
          <cell r="AG577" t="str">
            <v>SMA</v>
          </cell>
          <cell r="AW577" t="str">
            <v>BLUD</v>
          </cell>
        </row>
        <row r="578">
          <cell r="G578" t="str">
            <v>AKTIF</v>
          </cell>
          <cell r="N578" t="str">
            <v>Laki-Laki</v>
          </cell>
          <cell r="AE578" t="str">
            <v>SMA</v>
          </cell>
          <cell r="AG578" t="str">
            <v>SMK</v>
          </cell>
          <cell r="AW578" t="str">
            <v>BLUD</v>
          </cell>
        </row>
        <row r="579">
          <cell r="G579" t="str">
            <v>AKTIF</v>
          </cell>
          <cell r="N579" t="str">
            <v>Perempuan</v>
          </cell>
          <cell r="AE579" t="str">
            <v>S1</v>
          </cell>
          <cell r="AG579" t="str">
            <v>FARMASI</v>
          </cell>
          <cell r="AW579" t="str">
            <v>PNS</v>
          </cell>
        </row>
        <row r="580">
          <cell r="G580" t="str">
            <v>AKTIF</v>
          </cell>
          <cell r="N580" t="str">
            <v>Perempuan</v>
          </cell>
          <cell r="AE580" t="str">
            <v>S1</v>
          </cell>
          <cell r="AG580" t="str">
            <v>PROMOSI KESEHATAN</v>
          </cell>
          <cell r="AW580" t="str">
            <v>PNS</v>
          </cell>
        </row>
        <row r="581">
          <cell r="G581" t="str">
            <v>AKTIF</v>
          </cell>
          <cell r="N581" t="str">
            <v>Laki-Laki</v>
          </cell>
          <cell r="AE581" t="str">
            <v>D3</v>
          </cell>
          <cell r="AG581" t="str">
            <v>KEPERAWATAN</v>
          </cell>
          <cell r="AW581" t="str">
            <v>APBD</v>
          </cell>
        </row>
        <row r="582">
          <cell r="G582" t="str">
            <v>AKTIF</v>
          </cell>
          <cell r="N582" t="str">
            <v>Perempuan</v>
          </cell>
          <cell r="AE582" t="str">
            <v>S1 + Profesi</v>
          </cell>
          <cell r="AG582" t="str">
            <v>NERS</v>
          </cell>
          <cell r="AW582" t="str">
            <v>APBD</v>
          </cell>
        </row>
        <row r="583">
          <cell r="G583" t="str">
            <v>AKTIF</v>
          </cell>
          <cell r="N583" t="str">
            <v>Laki-Laki</v>
          </cell>
          <cell r="AE583" t="str">
            <v>S1 + Profesi</v>
          </cell>
          <cell r="AG583" t="str">
            <v>NERS</v>
          </cell>
          <cell r="AW583" t="str">
            <v>PNS</v>
          </cell>
        </row>
        <row r="584">
          <cell r="G584" t="str">
            <v>AKTIF</v>
          </cell>
          <cell r="N584" t="str">
            <v>Laki-Laki</v>
          </cell>
          <cell r="AE584" t="str">
            <v>SMA</v>
          </cell>
          <cell r="AG584" t="str">
            <v>SMA</v>
          </cell>
          <cell r="AW584" t="str">
            <v>BLUD</v>
          </cell>
        </row>
        <row r="585">
          <cell r="G585" t="str">
            <v>AKTIF</v>
          </cell>
          <cell r="N585" t="str">
            <v>Perempuan</v>
          </cell>
          <cell r="AE585" t="str">
            <v>S1</v>
          </cell>
          <cell r="AG585" t="str">
            <v>PSIKOLOGI</v>
          </cell>
          <cell r="AW585" t="str">
            <v>PNS</v>
          </cell>
        </row>
        <row r="586">
          <cell r="G586" t="str">
            <v>AKTIF</v>
          </cell>
          <cell r="N586" t="str">
            <v>Perempuan</v>
          </cell>
          <cell r="AE586" t="str">
            <v>D3</v>
          </cell>
          <cell r="AG586" t="str">
            <v>FARMASI</v>
          </cell>
          <cell r="AW586" t="str">
            <v>PNS</v>
          </cell>
        </row>
        <row r="587">
          <cell r="G587" t="str">
            <v>AKTIF</v>
          </cell>
          <cell r="N587" t="str">
            <v>Perempuan</v>
          </cell>
          <cell r="AE587" t="str">
            <v>S1 + Profesi</v>
          </cell>
          <cell r="AG587" t="str">
            <v>NERS</v>
          </cell>
          <cell r="AW587" t="str">
            <v>PNS</v>
          </cell>
        </row>
        <row r="588">
          <cell r="G588" t="str">
            <v>AKTIF</v>
          </cell>
          <cell r="N588" t="str">
            <v>Perempuan</v>
          </cell>
          <cell r="AE588" t="str">
            <v>S1</v>
          </cell>
          <cell r="AG588" t="str">
            <v>PENDIDIKAN EKONOMI</v>
          </cell>
          <cell r="AW588" t="str">
            <v>APBD</v>
          </cell>
        </row>
        <row r="589">
          <cell r="G589" t="str">
            <v>PENSIUN</v>
          </cell>
          <cell r="N589" t="str">
            <v>Perempuan</v>
          </cell>
          <cell r="AE589" t="str">
            <v>S1 + Profesi</v>
          </cell>
          <cell r="AG589" t="str">
            <v>NERS</v>
          </cell>
          <cell r="AW589" t="str">
            <v>PNS</v>
          </cell>
        </row>
        <row r="590">
          <cell r="G590" t="str">
            <v>AKTIF</v>
          </cell>
          <cell r="N590" t="str">
            <v>Perempuan</v>
          </cell>
          <cell r="AE590" t="str">
            <v>S1</v>
          </cell>
          <cell r="AG590" t="str">
            <v>SAINS</v>
          </cell>
          <cell r="AW590" t="str">
            <v>PNS</v>
          </cell>
        </row>
        <row r="591">
          <cell r="G591" t="str">
            <v>AKTIF</v>
          </cell>
          <cell r="N591" t="str">
            <v>Perempuan</v>
          </cell>
          <cell r="AE591" t="str">
            <v>D3</v>
          </cell>
          <cell r="AG591" t="str">
            <v>AKUTANSI PERBANKAN DAN KEUANGAN</v>
          </cell>
          <cell r="AW591" t="str">
            <v>APBD</v>
          </cell>
        </row>
        <row r="592">
          <cell r="G592" t="str">
            <v>AKTIF</v>
          </cell>
          <cell r="N592" t="str">
            <v>Laki-Laki</v>
          </cell>
          <cell r="AE592" t="str">
            <v>S1</v>
          </cell>
          <cell r="AG592" t="str">
            <v>KESEHATAN MASYARAKAT</v>
          </cell>
          <cell r="AW592" t="str">
            <v>PNS</v>
          </cell>
        </row>
        <row r="593">
          <cell r="G593" t="str">
            <v>AKTIF</v>
          </cell>
          <cell r="N593" t="str">
            <v>Laki-Laki</v>
          </cell>
          <cell r="AE593" t="str">
            <v>SMA</v>
          </cell>
          <cell r="AG593" t="str">
            <v>SMA</v>
          </cell>
          <cell r="AW593" t="str">
            <v>PNS</v>
          </cell>
        </row>
        <row r="594">
          <cell r="G594" t="str">
            <v>PENSIUN</v>
          </cell>
          <cell r="N594" t="str">
            <v>Perempuan</v>
          </cell>
          <cell r="AE594" t="str">
            <v>SMA</v>
          </cell>
          <cell r="AG594" t="str">
            <v>SMA</v>
          </cell>
          <cell r="AW594" t="str">
            <v>PNS</v>
          </cell>
        </row>
        <row r="595">
          <cell r="G595" t="str">
            <v>AKTIF</v>
          </cell>
          <cell r="N595" t="str">
            <v>Laki-Laki</v>
          </cell>
          <cell r="AE595" t="str">
            <v>D3</v>
          </cell>
          <cell r="AG595" t="str">
            <v>KEPERAWATAN</v>
          </cell>
          <cell r="AW595" t="str">
            <v>PNS</v>
          </cell>
        </row>
        <row r="596">
          <cell r="G596" t="str">
            <v>AKTIF</v>
          </cell>
          <cell r="N596" t="str">
            <v>Perempuan</v>
          </cell>
          <cell r="AE596" t="str">
            <v>S1</v>
          </cell>
          <cell r="AG596" t="str">
            <v>KESEHATAN MASYARAKAT</v>
          </cell>
          <cell r="AW596" t="str">
            <v>PNS</v>
          </cell>
        </row>
        <row r="597">
          <cell r="G597" t="str">
            <v>AKTIF</v>
          </cell>
          <cell r="N597" t="str">
            <v>Laki-Laki</v>
          </cell>
          <cell r="AE597" t="str">
            <v>D3</v>
          </cell>
          <cell r="AG597" t="str">
            <v>KEPERAWATAN</v>
          </cell>
          <cell r="AW597" t="str">
            <v>PNS</v>
          </cell>
        </row>
        <row r="598">
          <cell r="G598" t="str">
            <v>AKTIF</v>
          </cell>
          <cell r="N598" t="str">
            <v>Laki-Laki</v>
          </cell>
          <cell r="AE598" t="str">
            <v>SMA</v>
          </cell>
          <cell r="AG598" t="str">
            <v>SPK</v>
          </cell>
          <cell r="AW598" t="str">
            <v>BLUD</v>
          </cell>
        </row>
        <row r="599">
          <cell r="G599" t="str">
            <v>AKTIF</v>
          </cell>
          <cell r="N599" t="str">
            <v>Laki-Laki</v>
          </cell>
          <cell r="AE599" t="str">
            <v>SMA</v>
          </cell>
          <cell r="AG599" t="str">
            <v>SMK</v>
          </cell>
          <cell r="AW599" t="str">
            <v>BLUD</v>
          </cell>
        </row>
        <row r="600">
          <cell r="G600" t="str">
            <v>AKTIF</v>
          </cell>
          <cell r="N600" t="str">
            <v>Laki-Laki</v>
          </cell>
          <cell r="AE600" t="str">
            <v>S1 + Profesi</v>
          </cell>
          <cell r="AG600" t="str">
            <v>NERS</v>
          </cell>
          <cell r="AW600" t="str">
            <v>APBD</v>
          </cell>
        </row>
        <row r="601">
          <cell r="G601" t="str">
            <v>AKTIF</v>
          </cell>
          <cell r="N601" t="str">
            <v>Perempuan</v>
          </cell>
          <cell r="AE601" t="str">
            <v>S1 + Profesi</v>
          </cell>
          <cell r="AG601" t="str">
            <v>PSIKOLOGI KLINIS</v>
          </cell>
          <cell r="AW601" t="str">
            <v>APBD</v>
          </cell>
        </row>
        <row r="602">
          <cell r="G602" t="str">
            <v>AKTIF</v>
          </cell>
          <cell r="N602" t="str">
            <v>Perempuan</v>
          </cell>
          <cell r="AE602" t="str">
            <v>SMA</v>
          </cell>
          <cell r="AG602" t="str">
            <v>SMA</v>
          </cell>
          <cell r="AW602" t="str">
            <v>BLUD</v>
          </cell>
        </row>
        <row r="603">
          <cell r="G603" t="str">
            <v>AKTIF</v>
          </cell>
          <cell r="N603" t="str">
            <v>Laki-Laki</v>
          </cell>
          <cell r="AE603" t="str">
            <v>SMA</v>
          </cell>
          <cell r="AG603" t="str">
            <v>SMA</v>
          </cell>
          <cell r="AW603" t="str">
            <v>APBD</v>
          </cell>
        </row>
        <row r="604">
          <cell r="G604" t="str">
            <v>AKTIF</v>
          </cell>
          <cell r="N604" t="str">
            <v>Laki-Laki</v>
          </cell>
          <cell r="AE604" t="str">
            <v>S1</v>
          </cell>
          <cell r="AG604" t="str">
            <v>PROMOSI KESEHATAN</v>
          </cell>
          <cell r="AW604" t="str">
            <v>PNS</v>
          </cell>
        </row>
        <row r="605">
          <cell r="G605" t="str">
            <v>AKTIF</v>
          </cell>
          <cell r="N605" t="str">
            <v>Laki-Laki</v>
          </cell>
          <cell r="AE605" t="str">
            <v>D3</v>
          </cell>
          <cell r="AG605" t="str">
            <v>KEPERAWATAN</v>
          </cell>
          <cell r="AW605" t="str">
            <v>APBD</v>
          </cell>
        </row>
        <row r="606">
          <cell r="G606" t="str">
            <v>AKTIF</v>
          </cell>
          <cell r="N606" t="str">
            <v>Perempuan</v>
          </cell>
          <cell r="AE606" t="str">
            <v>S1 + Profesi</v>
          </cell>
          <cell r="AG606" t="str">
            <v>NERS</v>
          </cell>
          <cell r="AW606" t="str">
            <v>APBD</v>
          </cell>
        </row>
        <row r="607">
          <cell r="G607" t="str">
            <v>AKTIF</v>
          </cell>
          <cell r="N607" t="str">
            <v>Laki-Laki</v>
          </cell>
          <cell r="AE607" t="str">
            <v>D3</v>
          </cell>
          <cell r="AG607" t="str">
            <v>KEPERAWATAN</v>
          </cell>
          <cell r="AW607" t="str">
            <v>PNS</v>
          </cell>
        </row>
        <row r="608">
          <cell r="G608" t="str">
            <v>MENINGGAL</v>
          </cell>
          <cell r="N608" t="str">
            <v>Perempuan</v>
          </cell>
          <cell r="AE608" t="str">
            <v>D3</v>
          </cell>
          <cell r="AG608" t="str">
            <v>KEPERAWATAN</v>
          </cell>
        </row>
        <row r="609">
          <cell r="G609" t="str">
            <v>AKTIF</v>
          </cell>
          <cell r="N609" t="str">
            <v>Perempuan</v>
          </cell>
          <cell r="AE609" t="str">
            <v>D3</v>
          </cell>
          <cell r="AG609" t="str">
            <v>ANALIS KESEHATAN</v>
          </cell>
          <cell r="AW609" t="str">
            <v>APBD</v>
          </cell>
        </row>
        <row r="610">
          <cell r="G610" t="str">
            <v>AKTIF</v>
          </cell>
          <cell r="N610" t="str">
            <v>Perempuan</v>
          </cell>
          <cell r="AE610" t="str">
            <v>D3</v>
          </cell>
          <cell r="AG610" t="str">
            <v>KEPERAWATAN</v>
          </cell>
          <cell r="AW610" t="str">
            <v>APBD</v>
          </cell>
        </row>
        <row r="611">
          <cell r="G611" t="str">
            <v>AKTIF</v>
          </cell>
          <cell r="N611" t="str">
            <v>Laki-Laki</v>
          </cell>
          <cell r="AE611" t="str">
            <v>S1 + Profesi</v>
          </cell>
          <cell r="AG611" t="str">
            <v>NERS</v>
          </cell>
          <cell r="AW611" t="str">
            <v>APBD</v>
          </cell>
        </row>
        <row r="612">
          <cell r="G612" t="str">
            <v>AKTIF</v>
          </cell>
          <cell r="N612" t="str">
            <v>Laki-Laki</v>
          </cell>
          <cell r="AE612" t="str">
            <v>D3</v>
          </cell>
          <cell r="AG612" t="str">
            <v>TEKNIK ELEKTROMEDIS</v>
          </cell>
          <cell r="AW612" t="str">
            <v>PNS</v>
          </cell>
        </row>
        <row r="613">
          <cell r="G613" t="str">
            <v>AKTIF</v>
          </cell>
          <cell r="N613" t="str">
            <v>Perempuan</v>
          </cell>
          <cell r="AE613" t="str">
            <v>S1</v>
          </cell>
          <cell r="AG613" t="str">
            <v>KESEHATAN MASYARAKAT</v>
          </cell>
          <cell r="AW613" t="str">
            <v>PNS</v>
          </cell>
        </row>
        <row r="614">
          <cell r="G614" t="str">
            <v>AKTIF</v>
          </cell>
          <cell r="N614" t="str">
            <v>Perempuan</v>
          </cell>
          <cell r="AE614" t="str">
            <v>D3</v>
          </cell>
          <cell r="AG614" t="str">
            <v>FARMASI</v>
          </cell>
          <cell r="AW614" t="str">
            <v>APBD</v>
          </cell>
        </row>
        <row r="615">
          <cell r="G615" t="str">
            <v>AKTIF</v>
          </cell>
          <cell r="N615" t="str">
            <v>Laki-Laki</v>
          </cell>
          <cell r="AE615" t="str">
            <v>SMA</v>
          </cell>
          <cell r="AG615" t="str">
            <v>SMA</v>
          </cell>
          <cell r="AW615" t="str">
            <v>BLUD</v>
          </cell>
        </row>
        <row r="616">
          <cell r="G616" t="str">
            <v>RESIGN</v>
          </cell>
          <cell r="N616" t="str">
            <v>Perempuan</v>
          </cell>
          <cell r="AE616" t="str">
            <v>D3</v>
          </cell>
          <cell r="AG616" t="str">
            <v>KEPERAWATAN</v>
          </cell>
          <cell r="AW616" t="str">
            <v>BLUD</v>
          </cell>
        </row>
        <row r="617">
          <cell r="G617" t="str">
            <v>AKTIF</v>
          </cell>
          <cell r="N617" t="str">
            <v>Perempuan</v>
          </cell>
          <cell r="AE617" t="str">
            <v>D3</v>
          </cell>
          <cell r="AG617" t="str">
            <v>KEPERAWATAN</v>
          </cell>
          <cell r="AW617" t="str">
            <v>BLUD</v>
          </cell>
        </row>
        <row r="618">
          <cell r="G618" t="str">
            <v>RESIGN</v>
          </cell>
          <cell r="N618" t="str">
            <v>Perempuan</v>
          </cell>
          <cell r="AE618" t="str">
            <v>D3</v>
          </cell>
          <cell r="AG618" t="str">
            <v>REKAM MEDIS DAN INFORMASI KESEHATAN</v>
          </cell>
        </row>
        <row r="619">
          <cell r="G619" t="str">
            <v>AKTIF</v>
          </cell>
          <cell r="N619" t="str">
            <v>Perempuan</v>
          </cell>
          <cell r="AE619" t="str">
            <v>S1</v>
          </cell>
          <cell r="AG619" t="str">
            <v>ENTOMOLOGI</v>
          </cell>
          <cell r="AW619" t="str">
            <v>PNS</v>
          </cell>
        </row>
        <row r="620">
          <cell r="G620" t="str">
            <v>AKTIF</v>
          </cell>
          <cell r="N620" t="str">
            <v>Perempuan</v>
          </cell>
          <cell r="AE620" t="str">
            <v>D3</v>
          </cell>
          <cell r="AG620" t="str">
            <v>KEPERAWATAN</v>
          </cell>
          <cell r="AW620" t="str">
            <v>APBD</v>
          </cell>
        </row>
        <row r="621">
          <cell r="G621" t="str">
            <v>AKTIF</v>
          </cell>
          <cell r="N621" t="str">
            <v>Laki-Laki</v>
          </cell>
          <cell r="AE621" t="str">
            <v>D3</v>
          </cell>
          <cell r="AG621" t="str">
            <v>TEKNIK KOMPUTER</v>
          </cell>
          <cell r="AW621" t="str">
            <v>APBD</v>
          </cell>
        </row>
        <row r="622">
          <cell r="G622" t="str">
            <v>AKTIF</v>
          </cell>
          <cell r="N622" t="str">
            <v>Perempuan</v>
          </cell>
          <cell r="AE622" t="str">
            <v>S1 + Profesi</v>
          </cell>
          <cell r="AG622" t="str">
            <v>NERS</v>
          </cell>
          <cell r="AW622" t="str">
            <v>PNS</v>
          </cell>
        </row>
        <row r="623">
          <cell r="G623" t="str">
            <v>AKTIF</v>
          </cell>
          <cell r="N623" t="str">
            <v>Perempuan</v>
          </cell>
          <cell r="AE623" t="str">
            <v>D3</v>
          </cell>
          <cell r="AG623" t="str">
            <v>KEBIDANAN</v>
          </cell>
          <cell r="AW623" t="str">
            <v>APBD</v>
          </cell>
        </row>
        <row r="624">
          <cell r="G624" t="str">
            <v>AKTIF</v>
          </cell>
          <cell r="N624" t="str">
            <v>Perempuan</v>
          </cell>
          <cell r="AE624" t="str">
            <v>D3</v>
          </cell>
          <cell r="AG624" t="str">
            <v>KEPERAWATAN</v>
          </cell>
          <cell r="AW624" t="str">
            <v>APBD</v>
          </cell>
        </row>
        <row r="625">
          <cell r="G625" t="str">
            <v>AKTIF</v>
          </cell>
          <cell r="N625" t="str">
            <v>Perempuan</v>
          </cell>
          <cell r="AE625" t="str">
            <v>S1</v>
          </cell>
          <cell r="AG625" t="str">
            <v>FARMASI</v>
          </cell>
          <cell r="AW625" t="str">
            <v>APBD</v>
          </cell>
        </row>
        <row r="626">
          <cell r="G626" t="str">
            <v>AKTIF</v>
          </cell>
          <cell r="N626" t="str">
            <v>Perempuan</v>
          </cell>
          <cell r="AE626" t="str">
            <v>D3</v>
          </cell>
          <cell r="AG626" t="str">
            <v>KEPERAWATAN</v>
          </cell>
          <cell r="AW626" t="str">
            <v>APBD</v>
          </cell>
        </row>
        <row r="627">
          <cell r="G627" t="str">
            <v>AKTIF</v>
          </cell>
          <cell r="N627" t="str">
            <v>Perempuan</v>
          </cell>
          <cell r="AE627" t="str">
            <v>SMA</v>
          </cell>
          <cell r="AG627" t="str">
            <v>SMA</v>
          </cell>
          <cell r="AW627" t="str">
            <v>BLUD</v>
          </cell>
        </row>
        <row r="628">
          <cell r="G628" t="str">
            <v>AKTIF</v>
          </cell>
          <cell r="N628" t="str">
            <v>Perempuan</v>
          </cell>
          <cell r="AE628" t="str">
            <v>D3</v>
          </cell>
          <cell r="AG628" t="str">
            <v>ANALIS KESEHATAN</v>
          </cell>
          <cell r="AW628" t="str">
            <v>APBD</v>
          </cell>
        </row>
        <row r="629">
          <cell r="G629" t="str">
            <v>AKTIF</v>
          </cell>
          <cell r="N629" t="str">
            <v>Perempuan</v>
          </cell>
          <cell r="AE629" t="str">
            <v>S1</v>
          </cell>
          <cell r="AG629" t="str">
            <v>AKUTANSI</v>
          </cell>
          <cell r="AW629" t="str">
            <v>APBD</v>
          </cell>
        </row>
        <row r="630">
          <cell r="G630" t="str">
            <v>AKTIF</v>
          </cell>
          <cell r="N630" t="str">
            <v>Perempuan</v>
          </cell>
          <cell r="AE630" t="str">
            <v>D3</v>
          </cell>
          <cell r="AG630" t="str">
            <v>KEBIDANAN</v>
          </cell>
          <cell r="AW630" t="str">
            <v>APBD</v>
          </cell>
        </row>
        <row r="631">
          <cell r="G631" t="str">
            <v>AKTIF</v>
          </cell>
          <cell r="N631" t="str">
            <v>Perempuan</v>
          </cell>
          <cell r="AE631" t="str">
            <v>S1</v>
          </cell>
          <cell r="AG631" t="str">
            <v>KEPERAWATAN</v>
          </cell>
          <cell r="AW631" t="str">
            <v>APBD</v>
          </cell>
        </row>
        <row r="632">
          <cell r="G632" t="str">
            <v>AKTIF</v>
          </cell>
          <cell r="N632" t="str">
            <v>Perempuan</v>
          </cell>
          <cell r="AE632" t="str">
            <v>SMA</v>
          </cell>
          <cell r="AG632" t="str">
            <v>SMA</v>
          </cell>
          <cell r="AW632" t="str">
            <v>BLUD</v>
          </cell>
        </row>
        <row r="633">
          <cell r="G633" t="str">
            <v>AKTIF</v>
          </cell>
          <cell r="N633" t="str">
            <v>Perempuan</v>
          </cell>
          <cell r="AE633" t="str">
            <v>SMA</v>
          </cell>
          <cell r="AG633" t="str">
            <v>SMA</v>
          </cell>
          <cell r="AW633" t="str">
            <v>BLUD</v>
          </cell>
        </row>
        <row r="634">
          <cell r="G634" t="str">
            <v>AKTIF</v>
          </cell>
          <cell r="N634" t="str">
            <v>Perempuan</v>
          </cell>
          <cell r="AE634" t="str">
            <v>SMA</v>
          </cell>
          <cell r="AG634" t="str">
            <v>SMA</v>
          </cell>
          <cell r="AW634" t="str">
            <v>BLUD</v>
          </cell>
        </row>
        <row r="635">
          <cell r="G635" t="str">
            <v>AKTIF</v>
          </cell>
          <cell r="N635" t="str">
            <v>Perempuan</v>
          </cell>
          <cell r="AE635" t="str">
            <v>S1 + Profesi</v>
          </cell>
          <cell r="AG635" t="str">
            <v>NERS</v>
          </cell>
          <cell r="AW635" t="str">
            <v>PNS</v>
          </cell>
        </row>
        <row r="636">
          <cell r="G636" t="str">
            <v>AKTIF</v>
          </cell>
          <cell r="N636" t="str">
            <v>Perempuan</v>
          </cell>
          <cell r="AE636" t="str">
            <v>S1 + Profesi</v>
          </cell>
          <cell r="AG636" t="str">
            <v>NERS</v>
          </cell>
          <cell r="AW636" t="str">
            <v>BLUD</v>
          </cell>
        </row>
        <row r="637">
          <cell r="G637" t="str">
            <v>AKTIF</v>
          </cell>
          <cell r="N637" t="str">
            <v>Perempuan</v>
          </cell>
          <cell r="AE637" t="str">
            <v>D3</v>
          </cell>
          <cell r="AG637" t="str">
            <v>ANALIS KESEHATAN</v>
          </cell>
          <cell r="AW637" t="str">
            <v>APBD</v>
          </cell>
        </row>
        <row r="638">
          <cell r="G638" t="str">
            <v>AKTIF</v>
          </cell>
          <cell r="N638" t="str">
            <v>Perempuan</v>
          </cell>
          <cell r="AE638" t="str">
            <v>D3</v>
          </cell>
          <cell r="AG638" t="str">
            <v>KEBIDANAN</v>
          </cell>
          <cell r="AW638" t="str">
            <v>APBD</v>
          </cell>
        </row>
        <row r="639">
          <cell r="G639" t="str">
            <v>AKTIF</v>
          </cell>
          <cell r="N639" t="str">
            <v>Perempuan</v>
          </cell>
          <cell r="AE639" t="str">
            <v>D3</v>
          </cell>
          <cell r="AG639" t="str">
            <v>GIZI</v>
          </cell>
          <cell r="AW639" t="str">
            <v>PNS</v>
          </cell>
        </row>
        <row r="640">
          <cell r="G640" t="str">
            <v>AKTIF</v>
          </cell>
          <cell r="N640" t="str">
            <v>Perempuan</v>
          </cell>
          <cell r="AE640" t="str">
            <v>S1 + Profesi</v>
          </cell>
          <cell r="AG640" t="str">
            <v>NERS</v>
          </cell>
          <cell r="AW640" t="str">
            <v>PNS</v>
          </cell>
        </row>
        <row r="641">
          <cell r="G641" t="str">
            <v>AKTIF</v>
          </cell>
          <cell r="N641" t="str">
            <v>Perempuan</v>
          </cell>
          <cell r="AE641" t="str">
            <v>D3</v>
          </cell>
          <cell r="AG641" t="str">
            <v>REPRAKSI OPTIZIEN</v>
          </cell>
          <cell r="AW641" t="str">
            <v>PNS</v>
          </cell>
        </row>
        <row r="642">
          <cell r="G642" t="str">
            <v>AKTIF</v>
          </cell>
          <cell r="N642" t="str">
            <v>Perempuan</v>
          </cell>
          <cell r="AE642" t="str">
            <v>D3</v>
          </cell>
          <cell r="AG642" t="str">
            <v>KEBIDANAN</v>
          </cell>
          <cell r="AW642" t="str">
            <v>APBD</v>
          </cell>
        </row>
        <row r="643">
          <cell r="G643" t="str">
            <v>AKTIF</v>
          </cell>
          <cell r="N643" t="str">
            <v>Perempuan</v>
          </cell>
          <cell r="AE643" t="str">
            <v>D3</v>
          </cell>
          <cell r="AG643" t="str">
            <v>KEPERAWATAN</v>
          </cell>
          <cell r="AW643" t="str">
            <v>PNS</v>
          </cell>
        </row>
        <row r="644">
          <cell r="G644" t="str">
            <v>AKTIF</v>
          </cell>
          <cell r="N644" t="str">
            <v>Perempuan</v>
          </cell>
          <cell r="AE644" t="str">
            <v>D3</v>
          </cell>
          <cell r="AG644" t="str">
            <v>KEPERAWATAN</v>
          </cell>
          <cell r="AW644" t="str">
            <v>PNS</v>
          </cell>
        </row>
        <row r="645">
          <cell r="G645" t="str">
            <v>AKTIF</v>
          </cell>
          <cell r="N645" t="str">
            <v>Perempuan</v>
          </cell>
          <cell r="AE645" t="str">
            <v>S2</v>
          </cell>
          <cell r="AG645" t="str">
            <v>ADMINISTRASI DAN KEBIJAKAN KESEHATAN</v>
          </cell>
          <cell r="AW645" t="str">
            <v>PNS</v>
          </cell>
        </row>
        <row r="646">
          <cell r="G646" t="str">
            <v>AKTIF</v>
          </cell>
          <cell r="N646" t="str">
            <v>Perempuan</v>
          </cell>
          <cell r="AE646" t="str">
            <v>S1 + Profesi</v>
          </cell>
          <cell r="AG646" t="str">
            <v>NERS</v>
          </cell>
          <cell r="AW646" t="str">
            <v>APBD</v>
          </cell>
        </row>
        <row r="647">
          <cell r="G647" t="str">
            <v>AKTIF</v>
          </cell>
          <cell r="N647" t="str">
            <v>Laki-Laki</v>
          </cell>
          <cell r="AE647" t="str">
            <v>SD</v>
          </cell>
          <cell r="AG647" t="str">
            <v>SD</v>
          </cell>
          <cell r="AW647" t="str">
            <v>BLUD</v>
          </cell>
        </row>
        <row r="648">
          <cell r="G648" t="str">
            <v>AKTIF</v>
          </cell>
          <cell r="N648" t="str">
            <v>Perempuan</v>
          </cell>
          <cell r="AE648" t="str">
            <v>S1</v>
          </cell>
          <cell r="AG648" t="str">
            <v>FARMASI</v>
          </cell>
          <cell r="AW648" t="str">
            <v>APBD</v>
          </cell>
        </row>
        <row r="649">
          <cell r="G649" t="str">
            <v>AKTIF</v>
          </cell>
          <cell r="N649" t="str">
            <v>Perempuan</v>
          </cell>
          <cell r="AE649" t="str">
            <v>D3</v>
          </cell>
          <cell r="AG649" t="str">
            <v>KEPERAWATAN</v>
          </cell>
          <cell r="AW649" t="str">
            <v>PNS</v>
          </cell>
        </row>
        <row r="650">
          <cell r="G650" t="str">
            <v>RESIGN</v>
          </cell>
          <cell r="N650" t="str">
            <v>Laki-Laki</v>
          </cell>
          <cell r="AE650" t="str">
            <v>D1</v>
          </cell>
          <cell r="AG650" t="str">
            <v>MANAJEMEN INFORMATIKA DAN KOMPUTER</v>
          </cell>
        </row>
        <row r="651">
          <cell r="G651" t="str">
            <v>AKTIF</v>
          </cell>
          <cell r="N651" t="str">
            <v>Laki-Laki</v>
          </cell>
          <cell r="AE651" t="str">
            <v>SMA</v>
          </cell>
          <cell r="AG651" t="str">
            <v>SMA</v>
          </cell>
          <cell r="AW651" t="str">
            <v>BLUD</v>
          </cell>
        </row>
        <row r="652">
          <cell r="G652" t="str">
            <v>AKTIF</v>
          </cell>
          <cell r="N652" t="str">
            <v>Perempuan</v>
          </cell>
          <cell r="AE652" t="str">
            <v>D3</v>
          </cell>
          <cell r="AG652" t="str">
            <v>KEPERAWATAN</v>
          </cell>
          <cell r="AW652" t="str">
            <v>PNS</v>
          </cell>
        </row>
        <row r="653">
          <cell r="G653" t="str">
            <v>AKTIF</v>
          </cell>
          <cell r="N653" t="str">
            <v>Perempuan</v>
          </cell>
          <cell r="AE653" t="str">
            <v>D3</v>
          </cell>
          <cell r="AG653" t="str">
            <v>KEPERAWATAN</v>
          </cell>
          <cell r="AW653" t="str">
            <v>APBD</v>
          </cell>
        </row>
        <row r="654">
          <cell r="G654" t="str">
            <v>AKTIF</v>
          </cell>
          <cell r="N654" t="str">
            <v>Perempuan</v>
          </cell>
          <cell r="AE654" t="str">
            <v>S1 + Profesi</v>
          </cell>
          <cell r="AG654" t="str">
            <v>NERS</v>
          </cell>
          <cell r="AW654" t="str">
            <v>PNS</v>
          </cell>
        </row>
        <row r="655">
          <cell r="G655" t="str">
            <v>AKTIF</v>
          </cell>
          <cell r="N655" t="str">
            <v>Perempuan</v>
          </cell>
          <cell r="AE655" t="str">
            <v>D3</v>
          </cell>
          <cell r="AG655" t="str">
            <v>KEPERAWATAN</v>
          </cell>
          <cell r="AW655" t="str">
            <v>APBD</v>
          </cell>
        </row>
        <row r="656">
          <cell r="G656" t="str">
            <v>AKTIF</v>
          </cell>
          <cell r="N656" t="str">
            <v>Perempuan</v>
          </cell>
          <cell r="AE656" t="str">
            <v>S1</v>
          </cell>
          <cell r="AG656" t="str">
            <v>KESEHATAN MASYARAKAT</v>
          </cell>
          <cell r="AW656" t="str">
            <v>PNS</v>
          </cell>
        </row>
        <row r="657">
          <cell r="G657" t="str">
            <v>AKTIF</v>
          </cell>
          <cell r="N657" t="str">
            <v>Perempuan</v>
          </cell>
          <cell r="AE657" t="str">
            <v>D3</v>
          </cell>
          <cell r="AG657" t="str">
            <v>KEPERAWATAN</v>
          </cell>
          <cell r="AW657" t="str">
            <v>APBD</v>
          </cell>
        </row>
        <row r="658">
          <cell r="G658" t="str">
            <v>AKTIF</v>
          </cell>
          <cell r="N658" t="str">
            <v>Perempuan</v>
          </cell>
          <cell r="AE658" t="str">
            <v>D3</v>
          </cell>
          <cell r="AG658" t="str">
            <v>KEPERAWATAN</v>
          </cell>
          <cell r="AW658" t="str">
            <v>PNS</v>
          </cell>
        </row>
        <row r="659">
          <cell r="G659" t="str">
            <v>AKTIF</v>
          </cell>
          <cell r="N659" t="str">
            <v>Perempuan</v>
          </cell>
          <cell r="AE659" t="str">
            <v>D3</v>
          </cell>
          <cell r="AG659" t="str">
            <v>KEPERAWATAN</v>
          </cell>
          <cell r="AW659" t="str">
            <v>APBD</v>
          </cell>
        </row>
        <row r="660">
          <cell r="G660" t="str">
            <v>AKTIF</v>
          </cell>
          <cell r="N660" t="str">
            <v>Laki-Laki</v>
          </cell>
          <cell r="AE660" t="str">
            <v>SMA</v>
          </cell>
          <cell r="AG660" t="str">
            <v>SMK</v>
          </cell>
          <cell r="AW660" t="str">
            <v>BLUD</v>
          </cell>
        </row>
        <row r="661">
          <cell r="G661" t="str">
            <v>AKTIF</v>
          </cell>
          <cell r="N661" t="str">
            <v>Perempuan</v>
          </cell>
          <cell r="AE661" t="str">
            <v>SMA</v>
          </cell>
          <cell r="AG661" t="str">
            <v>SMA</v>
          </cell>
          <cell r="AW661" t="str">
            <v>PNS</v>
          </cell>
        </row>
        <row r="662">
          <cell r="G662" t="str">
            <v>AKTIF</v>
          </cell>
          <cell r="N662" t="str">
            <v>Laki-Laki</v>
          </cell>
          <cell r="AE662" t="str">
            <v>S1</v>
          </cell>
          <cell r="AG662" t="str">
            <v>TEKNIK INFORMATIKA</v>
          </cell>
          <cell r="AW662" t="str">
            <v>APBD</v>
          </cell>
        </row>
        <row r="663">
          <cell r="G663" t="str">
            <v>AKTIF</v>
          </cell>
          <cell r="N663" t="str">
            <v>Laki-Laki</v>
          </cell>
          <cell r="AE663" t="str">
            <v>D3</v>
          </cell>
          <cell r="AG663" t="str">
            <v>KEPERAWATAN</v>
          </cell>
          <cell r="AW663" t="str">
            <v>BLUD</v>
          </cell>
        </row>
        <row r="664">
          <cell r="G664" t="str">
            <v>AKTIF</v>
          </cell>
          <cell r="N664" t="str">
            <v>Laki-Laki</v>
          </cell>
          <cell r="AE664" t="str">
            <v>SMA</v>
          </cell>
          <cell r="AG664" t="str">
            <v>SMK</v>
          </cell>
          <cell r="AW664" t="str">
            <v>BLUD</v>
          </cell>
        </row>
        <row r="665">
          <cell r="G665" t="str">
            <v>AKTIF</v>
          </cell>
          <cell r="N665" t="str">
            <v>Perempuan</v>
          </cell>
          <cell r="AE665" t="str">
            <v>S1 + Profesi</v>
          </cell>
          <cell r="AG665" t="str">
            <v>NERS</v>
          </cell>
          <cell r="AW665" t="str">
            <v>BLUD</v>
          </cell>
        </row>
        <row r="666">
          <cell r="G666" t="str">
            <v>AKTIF</v>
          </cell>
          <cell r="N666" t="str">
            <v>Perempuan</v>
          </cell>
          <cell r="AE666" t="str">
            <v>S1 + Profesi</v>
          </cell>
          <cell r="AG666" t="str">
            <v>NERS</v>
          </cell>
          <cell r="AW666" t="str">
            <v>BLUD</v>
          </cell>
        </row>
        <row r="667">
          <cell r="G667" t="str">
            <v>AKTIF</v>
          </cell>
          <cell r="N667" t="str">
            <v>Perempuan</v>
          </cell>
          <cell r="AE667" t="str">
            <v>D4</v>
          </cell>
          <cell r="AG667" t="str">
            <v>GIZI</v>
          </cell>
          <cell r="AW667" t="str">
            <v>PNS</v>
          </cell>
        </row>
        <row r="668">
          <cell r="G668" t="str">
            <v>AKTIF</v>
          </cell>
          <cell r="N668" t="str">
            <v>Perempuan</v>
          </cell>
          <cell r="AE668" t="str">
            <v>S1</v>
          </cell>
          <cell r="AG668" t="str">
            <v>MANAJEMEN</v>
          </cell>
          <cell r="AW668" t="str">
            <v>PNS</v>
          </cell>
        </row>
        <row r="669">
          <cell r="G669" t="str">
            <v>AKTIF</v>
          </cell>
          <cell r="N669" t="str">
            <v>Laki-Laki</v>
          </cell>
          <cell r="AE669" t="str">
            <v>SMA</v>
          </cell>
          <cell r="AG669" t="str">
            <v>SMK</v>
          </cell>
          <cell r="AW669" t="str">
            <v>APBD</v>
          </cell>
        </row>
        <row r="670">
          <cell r="G670" t="str">
            <v>AKTIF</v>
          </cell>
          <cell r="N670" t="str">
            <v>Laki-Laki</v>
          </cell>
          <cell r="AE670" t="str">
            <v>D3</v>
          </cell>
          <cell r="AG670" t="str">
            <v>KEPERAWATAN</v>
          </cell>
          <cell r="AW670" t="str">
            <v>BLUD</v>
          </cell>
        </row>
        <row r="671">
          <cell r="G671" t="str">
            <v>AKTIF</v>
          </cell>
          <cell r="N671" t="str">
            <v>Laki-Laki</v>
          </cell>
          <cell r="AE671" t="str">
            <v>D3</v>
          </cell>
          <cell r="AG671" t="str">
            <v>KEPERAWATAN</v>
          </cell>
          <cell r="AW671" t="str">
            <v>BLUD</v>
          </cell>
        </row>
        <row r="672">
          <cell r="G672" t="str">
            <v>AKTIF</v>
          </cell>
          <cell r="N672" t="str">
            <v>Laki-Laki</v>
          </cell>
          <cell r="AE672" t="str">
            <v>SMA</v>
          </cell>
          <cell r="AG672" t="str">
            <v>SMA</v>
          </cell>
          <cell r="AW672" t="str">
            <v>PNS</v>
          </cell>
        </row>
        <row r="673">
          <cell r="G673" t="str">
            <v>AKTIF</v>
          </cell>
          <cell r="N673" t="str">
            <v>Laki-Laki</v>
          </cell>
          <cell r="AE673" t="str">
            <v>S1 + Profesi</v>
          </cell>
          <cell r="AG673" t="str">
            <v>NERS</v>
          </cell>
          <cell r="AW673" t="str">
            <v>APBD</v>
          </cell>
        </row>
        <row r="674">
          <cell r="G674" t="str">
            <v>AKTIF</v>
          </cell>
          <cell r="N674" t="str">
            <v>Perempuan</v>
          </cell>
          <cell r="AE674" t="str">
            <v>D3</v>
          </cell>
          <cell r="AG674" t="str">
            <v>KEPERAWATAN</v>
          </cell>
          <cell r="AW674" t="str">
            <v>PNS</v>
          </cell>
        </row>
        <row r="675">
          <cell r="G675" t="str">
            <v>AKTIF</v>
          </cell>
          <cell r="N675" t="str">
            <v>Perempuan</v>
          </cell>
          <cell r="AE675" t="str">
            <v>S1</v>
          </cell>
          <cell r="AG675" t="str">
            <v>AKUTANSI</v>
          </cell>
          <cell r="AW675" t="str">
            <v>PNS</v>
          </cell>
        </row>
        <row r="676">
          <cell r="G676" t="str">
            <v>AKTIF</v>
          </cell>
          <cell r="N676" t="str">
            <v>Perempuan</v>
          </cell>
          <cell r="AE676" t="str">
            <v>D3</v>
          </cell>
          <cell r="AG676" t="str">
            <v>ADMINISTRASI PERKANTORAN DAN SEKRETARIS</v>
          </cell>
          <cell r="AW676" t="str">
            <v>APBD</v>
          </cell>
        </row>
        <row r="677">
          <cell r="G677" t="str">
            <v>AKTIF</v>
          </cell>
          <cell r="N677" t="str">
            <v>Perempuan</v>
          </cell>
          <cell r="AE677" t="str">
            <v>D4</v>
          </cell>
          <cell r="AG677" t="str">
            <v>GIZI</v>
          </cell>
          <cell r="AW677" t="str">
            <v>PNS</v>
          </cell>
        </row>
        <row r="678">
          <cell r="G678" t="str">
            <v>AKTIF</v>
          </cell>
          <cell r="N678" t="str">
            <v>Perempuan</v>
          </cell>
          <cell r="AE678" t="str">
            <v>D3</v>
          </cell>
          <cell r="AG678" t="str">
            <v>KEPERAWATAN</v>
          </cell>
          <cell r="AW678" t="str">
            <v>APBD</v>
          </cell>
        </row>
        <row r="679">
          <cell r="G679" t="str">
            <v>AKTIF</v>
          </cell>
          <cell r="N679" t="str">
            <v>Perempuan</v>
          </cell>
          <cell r="AE679" t="str">
            <v>S1</v>
          </cell>
          <cell r="AG679" t="str">
            <v>PENDIDIKAN EKONOMI</v>
          </cell>
          <cell r="AW679" t="str">
            <v>BLUD</v>
          </cell>
        </row>
        <row r="680">
          <cell r="G680" t="str">
            <v>AKTIF</v>
          </cell>
          <cell r="N680" t="str">
            <v>Laki-Laki</v>
          </cell>
          <cell r="AE680" t="str">
            <v>D3</v>
          </cell>
          <cell r="AG680" t="str">
            <v>KEPERAWATAN</v>
          </cell>
          <cell r="AW680" t="str">
            <v>BLUD</v>
          </cell>
        </row>
        <row r="681">
          <cell r="G681" t="str">
            <v>AKTIF</v>
          </cell>
          <cell r="N681" t="str">
            <v>Laki-Laki</v>
          </cell>
          <cell r="AE681" t="str">
            <v>S1</v>
          </cell>
          <cell r="AG681" t="str">
            <v>TEKNIK INFORMATIKA</v>
          </cell>
          <cell r="AW681" t="str">
            <v>APBD</v>
          </cell>
        </row>
        <row r="682">
          <cell r="G682" t="str">
            <v>AKTIF</v>
          </cell>
          <cell r="N682" t="str">
            <v>Perempuan</v>
          </cell>
          <cell r="AE682" t="str">
            <v>S1</v>
          </cell>
          <cell r="AG682" t="str">
            <v>SAINS</v>
          </cell>
          <cell r="AW682" t="str">
            <v>PNS</v>
          </cell>
        </row>
        <row r="683">
          <cell r="G683" t="str">
            <v>AKTIF</v>
          </cell>
          <cell r="N683" t="str">
            <v>Perempuan</v>
          </cell>
          <cell r="AE683" t="str">
            <v>SMA</v>
          </cell>
          <cell r="AG683" t="str">
            <v>SMA</v>
          </cell>
          <cell r="AW683" t="str">
            <v>BLUD</v>
          </cell>
        </row>
        <row r="684">
          <cell r="G684" t="str">
            <v>AKTIF</v>
          </cell>
          <cell r="N684" t="str">
            <v>Perempuan</v>
          </cell>
          <cell r="AE684" t="str">
            <v>D3</v>
          </cell>
          <cell r="AG684" t="str">
            <v>TEKNIK RADIODIAGNOSTIK DAN RADIOTERAPI</v>
          </cell>
          <cell r="AW684" t="str">
            <v>PNS</v>
          </cell>
        </row>
        <row r="685">
          <cell r="G685" t="str">
            <v>AKTIF</v>
          </cell>
          <cell r="N685" t="str">
            <v>Perempuan</v>
          </cell>
          <cell r="AE685" t="str">
            <v>S1</v>
          </cell>
          <cell r="AG685" t="str">
            <v>SISTEM INFORMASI</v>
          </cell>
          <cell r="AW685" t="str">
            <v>APBD</v>
          </cell>
        </row>
        <row r="686">
          <cell r="G686" t="str">
            <v>AKTIF</v>
          </cell>
          <cell r="N686" t="str">
            <v>Perempuan</v>
          </cell>
          <cell r="AE686" t="str">
            <v>APOTEKER</v>
          </cell>
          <cell r="AG686" t="str">
            <v>APOTEKER</v>
          </cell>
          <cell r="AW686" t="str">
            <v>APBD</v>
          </cell>
        </row>
        <row r="687">
          <cell r="G687" t="str">
            <v>AKTIF</v>
          </cell>
          <cell r="N687" t="str">
            <v>Perempuan</v>
          </cell>
          <cell r="AE687" t="str">
            <v>S1 + Profesi</v>
          </cell>
          <cell r="AG687" t="str">
            <v>NERS</v>
          </cell>
          <cell r="AW687" t="str">
            <v>BLUD</v>
          </cell>
        </row>
        <row r="688">
          <cell r="G688" t="str">
            <v>AKTIF</v>
          </cell>
          <cell r="N688" t="str">
            <v>Perempuan</v>
          </cell>
          <cell r="AE688" t="str">
            <v>S1</v>
          </cell>
          <cell r="AG688" t="str">
            <v>EPIDEMIOLOGI</v>
          </cell>
          <cell r="AW688" t="str">
            <v>PNS</v>
          </cell>
        </row>
        <row r="689">
          <cell r="G689" t="str">
            <v>AKTIF</v>
          </cell>
          <cell r="N689" t="str">
            <v>Perempuan</v>
          </cell>
          <cell r="AE689" t="str">
            <v>S1 + Profesi</v>
          </cell>
          <cell r="AG689" t="str">
            <v>NERS</v>
          </cell>
          <cell r="AW689" t="str">
            <v>PNS</v>
          </cell>
        </row>
        <row r="690">
          <cell r="G690" t="str">
            <v>AKTIF</v>
          </cell>
          <cell r="N690" t="str">
            <v>Perempuan</v>
          </cell>
          <cell r="AE690" t="str">
            <v>D3</v>
          </cell>
          <cell r="AG690" t="str">
            <v>KEPERAWATAN GIGI</v>
          </cell>
          <cell r="AW690" t="str">
            <v>PNS</v>
          </cell>
        </row>
        <row r="691">
          <cell r="G691" t="str">
            <v>RESIGN</v>
          </cell>
          <cell r="N691" t="str">
            <v>Laki-Laki</v>
          </cell>
          <cell r="AE691" t="str">
            <v>S1</v>
          </cell>
          <cell r="AG691" t="str">
            <v>SISTEM INFORMASI</v>
          </cell>
          <cell r="AW691" t="str">
            <v>BLUD</v>
          </cell>
        </row>
        <row r="692">
          <cell r="G692" t="str">
            <v>AKTIF</v>
          </cell>
          <cell r="N692" t="str">
            <v>Perempuan</v>
          </cell>
          <cell r="AE692" t="str">
            <v>SMA</v>
          </cell>
          <cell r="AG692" t="str">
            <v>SMA</v>
          </cell>
          <cell r="AW692" t="str">
            <v>BLUD</v>
          </cell>
        </row>
        <row r="693">
          <cell r="G693" t="str">
            <v>AKTIF</v>
          </cell>
          <cell r="N693" t="str">
            <v>Perempuan</v>
          </cell>
          <cell r="AE693" t="str">
            <v>S1</v>
          </cell>
          <cell r="AG693" t="str">
            <v>KEPERAWATAN</v>
          </cell>
          <cell r="AW693" t="str">
            <v>APBD</v>
          </cell>
        </row>
        <row r="694">
          <cell r="G694" t="str">
            <v>AKTIF</v>
          </cell>
          <cell r="N694" t="str">
            <v>Perempuan</v>
          </cell>
          <cell r="AE694" t="str">
            <v>S1 + Profesi</v>
          </cell>
          <cell r="AG694" t="str">
            <v>NERS</v>
          </cell>
          <cell r="AW694" t="str">
            <v>BLUD</v>
          </cell>
        </row>
        <row r="695">
          <cell r="G695" t="str">
            <v>AKTIF</v>
          </cell>
          <cell r="N695" t="str">
            <v>Perempuan</v>
          </cell>
          <cell r="AE695" t="str">
            <v>S1 + Profesi</v>
          </cell>
          <cell r="AG695" t="str">
            <v>NERS</v>
          </cell>
          <cell r="AW695" t="str">
            <v>BLUD</v>
          </cell>
        </row>
        <row r="696">
          <cell r="G696" t="str">
            <v>AKTIF</v>
          </cell>
          <cell r="N696" t="str">
            <v>Perempuan</v>
          </cell>
          <cell r="AE696" t="str">
            <v>S1</v>
          </cell>
          <cell r="AG696" t="str">
            <v>KESEHATAN MASYARAKAT</v>
          </cell>
          <cell r="AW696" t="str">
            <v>PNS</v>
          </cell>
        </row>
        <row r="697">
          <cell r="G697" t="str">
            <v>AKTIF</v>
          </cell>
          <cell r="N697" t="str">
            <v>Perempuan</v>
          </cell>
          <cell r="AE697" t="str">
            <v>D3</v>
          </cell>
          <cell r="AG697" t="str">
            <v>KEPERAWATAN</v>
          </cell>
          <cell r="AW697" t="str">
            <v>APBD</v>
          </cell>
        </row>
        <row r="698">
          <cell r="G698" t="str">
            <v>AKTIF</v>
          </cell>
          <cell r="N698" t="str">
            <v>Perempuan</v>
          </cell>
          <cell r="AE698" t="str">
            <v>S1</v>
          </cell>
          <cell r="AG698" t="str">
            <v>KEPERAWATAN</v>
          </cell>
          <cell r="AW698" t="str">
            <v>PNS</v>
          </cell>
        </row>
        <row r="699">
          <cell r="G699" t="str">
            <v>AKTIF</v>
          </cell>
          <cell r="N699" t="str">
            <v>Perempuan</v>
          </cell>
          <cell r="AE699" t="str">
            <v>S1</v>
          </cell>
          <cell r="AG699" t="str">
            <v>SISTEM INFORMASI</v>
          </cell>
          <cell r="AW699" t="str">
            <v>APBD</v>
          </cell>
        </row>
        <row r="700">
          <cell r="G700" t="str">
            <v>AKTIF</v>
          </cell>
          <cell r="N700" t="str">
            <v>Perempuan</v>
          </cell>
          <cell r="AE700" t="str">
            <v>D3</v>
          </cell>
          <cell r="AG700" t="str">
            <v>KEPERAWATAN</v>
          </cell>
          <cell r="AW700" t="str">
            <v>APBD</v>
          </cell>
        </row>
        <row r="701">
          <cell r="G701" t="str">
            <v>AKTIF</v>
          </cell>
          <cell r="N701" t="str">
            <v>Perempuan</v>
          </cell>
          <cell r="AE701" t="str">
            <v>D3</v>
          </cell>
          <cell r="AG701" t="str">
            <v>KEBIDANAN</v>
          </cell>
          <cell r="AW701" t="str">
            <v>APBD</v>
          </cell>
        </row>
        <row r="702">
          <cell r="G702" t="str">
            <v>AKTIF</v>
          </cell>
          <cell r="N702" t="str">
            <v>Perempuan</v>
          </cell>
          <cell r="AE702" t="str">
            <v>S1</v>
          </cell>
          <cell r="AG702" t="str">
            <v>SAINS</v>
          </cell>
          <cell r="AW702" t="str">
            <v>PNS</v>
          </cell>
        </row>
        <row r="703">
          <cell r="G703" t="str">
            <v>AKTIF</v>
          </cell>
          <cell r="N703" t="str">
            <v>Perempuan</v>
          </cell>
          <cell r="AE703" t="str">
            <v>S1 + Profesi</v>
          </cell>
          <cell r="AG703" t="str">
            <v>NERS</v>
          </cell>
          <cell r="AW703" t="str">
            <v>APBD</v>
          </cell>
        </row>
        <row r="704">
          <cell r="G704" t="str">
            <v>AKTIF</v>
          </cell>
          <cell r="N704" t="str">
            <v>Perempuan</v>
          </cell>
          <cell r="AE704" t="str">
            <v>D4</v>
          </cell>
          <cell r="AG704" t="str">
            <v>FISIOTERAPI</v>
          </cell>
          <cell r="AW704" t="str">
            <v>PNS</v>
          </cell>
        </row>
        <row r="705">
          <cell r="G705" t="str">
            <v>AKTIF</v>
          </cell>
          <cell r="N705" t="str">
            <v>Perempuan</v>
          </cell>
          <cell r="AE705" t="str">
            <v>S1 + Profesi</v>
          </cell>
          <cell r="AG705" t="str">
            <v>NERS</v>
          </cell>
          <cell r="AW705" t="str">
            <v>PNS</v>
          </cell>
        </row>
        <row r="706">
          <cell r="G706" t="str">
            <v>AKTIF</v>
          </cell>
          <cell r="N706" t="str">
            <v>Perempuan</v>
          </cell>
          <cell r="AE706" t="str">
            <v>S1</v>
          </cell>
          <cell r="AG706" t="str">
            <v>SAINS</v>
          </cell>
          <cell r="AW706" t="str">
            <v>PNS</v>
          </cell>
        </row>
        <row r="707">
          <cell r="G707" t="str">
            <v>AKTIF</v>
          </cell>
          <cell r="N707" t="str">
            <v>Perempuan</v>
          </cell>
          <cell r="AE707" t="str">
            <v>D3</v>
          </cell>
          <cell r="AG707" t="str">
            <v>KEPERAWATAN</v>
          </cell>
          <cell r="AW707" t="str">
            <v>APBD</v>
          </cell>
        </row>
        <row r="708">
          <cell r="G708" t="str">
            <v>AKTIF</v>
          </cell>
          <cell r="N708" t="str">
            <v>Perempuan</v>
          </cell>
          <cell r="AE708" t="str">
            <v>S1 + Profesi</v>
          </cell>
          <cell r="AG708" t="str">
            <v>NERS</v>
          </cell>
          <cell r="AW708" t="str">
            <v>APBD</v>
          </cell>
        </row>
        <row r="709">
          <cell r="G709" t="str">
            <v>AKTIF</v>
          </cell>
          <cell r="N709" t="str">
            <v>Perempuan</v>
          </cell>
          <cell r="AE709" t="str">
            <v>D3</v>
          </cell>
          <cell r="AG709" t="str">
            <v>KEPERAWATAN</v>
          </cell>
          <cell r="AW709" t="str">
            <v>APBD</v>
          </cell>
        </row>
        <row r="710">
          <cell r="G710" t="str">
            <v>AKTIF</v>
          </cell>
          <cell r="N710" t="str">
            <v>Perempuan</v>
          </cell>
          <cell r="AE710" t="str">
            <v>D3</v>
          </cell>
          <cell r="AG710" t="str">
            <v>KEPERAWATAN</v>
          </cell>
          <cell r="AW710" t="str">
            <v>APBD</v>
          </cell>
        </row>
        <row r="711">
          <cell r="G711" t="str">
            <v>AKTIF</v>
          </cell>
          <cell r="N711" t="str">
            <v>Perempuan</v>
          </cell>
          <cell r="AE711" t="str">
            <v>S2</v>
          </cell>
          <cell r="AG711" t="str">
            <v>KESEHATAN MASYARAKAT</v>
          </cell>
          <cell r="AW711" t="str">
            <v>PNS</v>
          </cell>
        </row>
        <row r="712">
          <cell r="G712" t="str">
            <v>AKTIF</v>
          </cell>
          <cell r="N712" t="str">
            <v>Laki-Laki</v>
          </cell>
          <cell r="AE712" t="str">
            <v>SMA</v>
          </cell>
          <cell r="AG712" t="str">
            <v>SMA</v>
          </cell>
          <cell r="AW712" t="str">
            <v>BLUD</v>
          </cell>
        </row>
        <row r="713">
          <cell r="G713" t="str">
            <v>AKTIF</v>
          </cell>
          <cell r="N713" t="str">
            <v>Perempuan</v>
          </cell>
          <cell r="AE713" t="str">
            <v>D3</v>
          </cell>
          <cell r="AG713" t="str">
            <v>KEBIDANAN</v>
          </cell>
          <cell r="AW713" t="str">
            <v>APBD</v>
          </cell>
        </row>
        <row r="714">
          <cell r="G714" t="str">
            <v>AKTIF</v>
          </cell>
          <cell r="N714" t="str">
            <v>Perempuan</v>
          </cell>
          <cell r="AE714" t="str">
            <v>APOTEKER</v>
          </cell>
          <cell r="AG714" t="str">
            <v>APOTEKER</v>
          </cell>
          <cell r="AW714" t="str">
            <v>PNS</v>
          </cell>
        </row>
        <row r="715">
          <cell r="G715" t="str">
            <v>AKTIF</v>
          </cell>
          <cell r="N715" t="str">
            <v>Perempuan</v>
          </cell>
          <cell r="AE715" t="str">
            <v>S1 + Profesi</v>
          </cell>
          <cell r="AG715" t="str">
            <v>NERS</v>
          </cell>
          <cell r="AW715" t="str">
            <v>APBD</v>
          </cell>
        </row>
        <row r="716">
          <cell r="G716" t="str">
            <v>AKTIF</v>
          </cell>
          <cell r="N716" t="str">
            <v>Perempuan</v>
          </cell>
          <cell r="AE716" t="str">
            <v>D3</v>
          </cell>
          <cell r="AG716" t="str">
            <v>KEPERAWATAN</v>
          </cell>
          <cell r="AW716" t="str">
            <v>APBD</v>
          </cell>
        </row>
        <row r="717">
          <cell r="G717" t="str">
            <v>AKTIF</v>
          </cell>
          <cell r="N717" t="str">
            <v>Laki-Laki</v>
          </cell>
          <cell r="AE717" t="str">
            <v>S1 + Profesi</v>
          </cell>
          <cell r="AG717" t="str">
            <v>NERS</v>
          </cell>
          <cell r="AW717" t="str">
            <v>APBD</v>
          </cell>
        </row>
        <row r="718">
          <cell r="G718" t="str">
            <v>AKTIF</v>
          </cell>
          <cell r="N718" t="str">
            <v>Perempuan</v>
          </cell>
          <cell r="AE718" t="str">
            <v>D3</v>
          </cell>
          <cell r="AG718" t="str">
            <v>KEPERAWATAN</v>
          </cell>
          <cell r="AW718" t="str">
            <v>PNS</v>
          </cell>
        </row>
        <row r="719">
          <cell r="G719" t="str">
            <v>AKTIF</v>
          </cell>
          <cell r="N719" t="str">
            <v>Perempuan</v>
          </cell>
          <cell r="AE719" t="str">
            <v>S1 + Profesi</v>
          </cell>
          <cell r="AG719" t="str">
            <v>NERS</v>
          </cell>
          <cell r="AW719" t="str">
            <v>PNS</v>
          </cell>
        </row>
        <row r="720">
          <cell r="G720" t="str">
            <v>AKTIF</v>
          </cell>
          <cell r="N720" t="str">
            <v>Perempuan</v>
          </cell>
          <cell r="AE720" t="str">
            <v>S1</v>
          </cell>
          <cell r="AG720" t="str">
            <v>KESEHATAN MASYARAKAT</v>
          </cell>
          <cell r="AW720" t="str">
            <v>PNS</v>
          </cell>
        </row>
        <row r="721">
          <cell r="G721" t="str">
            <v>AKTIF</v>
          </cell>
          <cell r="N721" t="str">
            <v>Perempuan</v>
          </cell>
          <cell r="AE721" t="str">
            <v>SMA</v>
          </cell>
          <cell r="AG721" t="str">
            <v>SMA</v>
          </cell>
          <cell r="AW721" t="str">
            <v>BLUD</v>
          </cell>
        </row>
        <row r="722">
          <cell r="G722" t="str">
            <v>AKTIF</v>
          </cell>
          <cell r="N722" t="str">
            <v>Perempuan</v>
          </cell>
          <cell r="AE722" t="str">
            <v>D3</v>
          </cell>
          <cell r="AG722" t="str">
            <v>KEPERAWATAN</v>
          </cell>
          <cell r="AW722" t="str">
            <v>APBD</v>
          </cell>
        </row>
        <row r="723">
          <cell r="G723" t="str">
            <v>AKTIF</v>
          </cell>
          <cell r="N723" t="str">
            <v>Perempuan</v>
          </cell>
          <cell r="AE723" t="str">
            <v>D3</v>
          </cell>
          <cell r="AG723" t="str">
            <v>TEKNIK RADIODIAGNOSTIK DAN RADIOTERAPI</v>
          </cell>
          <cell r="AW723" t="str">
            <v>PNS</v>
          </cell>
        </row>
        <row r="724">
          <cell r="G724" t="str">
            <v>AKTIF</v>
          </cell>
          <cell r="N724" t="str">
            <v>Perempuan</v>
          </cell>
          <cell r="AE724" t="str">
            <v>S1 + Profesi</v>
          </cell>
          <cell r="AG724" t="str">
            <v>NERS</v>
          </cell>
          <cell r="AW724" t="str">
            <v>PNS</v>
          </cell>
        </row>
        <row r="725">
          <cell r="G725" t="str">
            <v>AKTIF</v>
          </cell>
          <cell r="N725" t="str">
            <v>Perempuan</v>
          </cell>
          <cell r="AE725" t="str">
            <v>S2</v>
          </cell>
          <cell r="AG725" t="str">
            <v>KESEHATAN MASYARAKAT</v>
          </cell>
          <cell r="AW725" t="str">
            <v>PNS</v>
          </cell>
        </row>
        <row r="726">
          <cell r="G726" t="str">
            <v>AKTIF</v>
          </cell>
          <cell r="N726" t="str">
            <v>Perempuan</v>
          </cell>
          <cell r="AE726" t="str">
            <v>D3</v>
          </cell>
          <cell r="AG726" t="str">
            <v>FISIOTERAPI</v>
          </cell>
          <cell r="AW726" t="str">
            <v>APBD</v>
          </cell>
        </row>
        <row r="727">
          <cell r="G727" t="str">
            <v>AKTIF</v>
          </cell>
          <cell r="N727" t="str">
            <v>Perempuan</v>
          </cell>
          <cell r="AE727" t="str">
            <v>D3</v>
          </cell>
          <cell r="AG727" t="str">
            <v>KEPERAWATAN</v>
          </cell>
          <cell r="AW727" t="str">
            <v>APBD</v>
          </cell>
        </row>
        <row r="728">
          <cell r="G728" t="str">
            <v>AKTIF</v>
          </cell>
          <cell r="N728" t="str">
            <v>Perempuan</v>
          </cell>
          <cell r="AE728" t="str">
            <v>S1 + Profesi</v>
          </cell>
          <cell r="AG728" t="str">
            <v>NERS</v>
          </cell>
          <cell r="AW728" t="str">
            <v>PNS</v>
          </cell>
        </row>
        <row r="729">
          <cell r="G729" t="str">
            <v>AKTIF</v>
          </cell>
          <cell r="N729" t="str">
            <v>Laki-Laki</v>
          </cell>
          <cell r="AE729" t="str">
            <v>SMA</v>
          </cell>
          <cell r="AG729" t="str">
            <v>SMA</v>
          </cell>
          <cell r="AW729" t="str">
            <v>BLUD</v>
          </cell>
        </row>
        <row r="730">
          <cell r="G730" t="str">
            <v>AKTIF</v>
          </cell>
          <cell r="N730" t="str">
            <v>Laki-Laki</v>
          </cell>
          <cell r="AE730" t="str">
            <v>SMA</v>
          </cell>
          <cell r="AG730" t="str">
            <v>SMA</v>
          </cell>
          <cell r="AW730" t="str">
            <v>BLUD</v>
          </cell>
        </row>
        <row r="731">
          <cell r="G731" t="str">
            <v>AKTIF</v>
          </cell>
          <cell r="N731" t="str">
            <v>Perempuan</v>
          </cell>
          <cell r="AE731" t="str">
            <v>D3</v>
          </cell>
          <cell r="AG731" t="str">
            <v>GIZI</v>
          </cell>
          <cell r="AW731" t="str">
            <v>BLUD</v>
          </cell>
        </row>
        <row r="732">
          <cell r="G732" t="str">
            <v>AKTIF</v>
          </cell>
          <cell r="N732" t="str">
            <v>Perempuan</v>
          </cell>
          <cell r="AE732" t="str">
            <v>SMA</v>
          </cell>
          <cell r="AG732" t="str">
            <v>SMK</v>
          </cell>
          <cell r="AW732" t="str">
            <v>BLUD</v>
          </cell>
        </row>
        <row r="733">
          <cell r="G733" t="str">
            <v>AKTIF</v>
          </cell>
          <cell r="N733" t="str">
            <v>Perempuan</v>
          </cell>
          <cell r="AE733" t="str">
            <v>S1 + Profesi</v>
          </cell>
          <cell r="AG733" t="str">
            <v>NERS</v>
          </cell>
          <cell r="AW733" t="str">
            <v>APBD</v>
          </cell>
        </row>
        <row r="734">
          <cell r="G734" t="str">
            <v>AKTIF</v>
          </cell>
          <cell r="N734" t="str">
            <v>Perempuan</v>
          </cell>
          <cell r="AE734" t="str">
            <v>S1</v>
          </cell>
          <cell r="AG734" t="str">
            <v>KESEHATAN MASYARAKAT</v>
          </cell>
          <cell r="AW734" t="str">
            <v>APBD</v>
          </cell>
        </row>
        <row r="735">
          <cell r="G735" t="str">
            <v>AKTIF</v>
          </cell>
          <cell r="N735" t="str">
            <v>Perempuan</v>
          </cell>
          <cell r="AE735" t="str">
            <v>S1 + Profesi</v>
          </cell>
          <cell r="AG735" t="str">
            <v>NERS</v>
          </cell>
          <cell r="AW735" t="str">
            <v>APBD</v>
          </cell>
        </row>
        <row r="736">
          <cell r="G736" t="str">
            <v>AKTIF</v>
          </cell>
          <cell r="N736" t="str">
            <v>Perempuan</v>
          </cell>
          <cell r="AE736" t="str">
            <v>S1 + Profesi</v>
          </cell>
          <cell r="AG736" t="str">
            <v>NERS</v>
          </cell>
          <cell r="AW736" t="str">
            <v>PNS</v>
          </cell>
        </row>
        <row r="737">
          <cell r="G737" t="str">
            <v>AKTIF</v>
          </cell>
          <cell r="N737" t="str">
            <v>Perempuan</v>
          </cell>
          <cell r="AE737" t="str">
            <v>S1 + Profesi</v>
          </cell>
          <cell r="AG737" t="str">
            <v>NERS</v>
          </cell>
          <cell r="AW737" t="str">
            <v>APBD</v>
          </cell>
        </row>
        <row r="738">
          <cell r="G738" t="str">
            <v>AKTIF</v>
          </cell>
          <cell r="N738" t="str">
            <v>Perempuan</v>
          </cell>
          <cell r="AE738" t="str">
            <v>SMA</v>
          </cell>
          <cell r="AG738" t="str">
            <v>SMA</v>
          </cell>
          <cell r="AW738" t="str">
            <v>BLUD</v>
          </cell>
        </row>
        <row r="739">
          <cell r="G739" t="str">
            <v>AKTIF</v>
          </cell>
          <cell r="N739" t="str">
            <v>Perempuan</v>
          </cell>
          <cell r="AE739" t="str">
            <v>D3</v>
          </cell>
          <cell r="AG739" t="str">
            <v>REKAM MEDIS DAN INFORMASI KESEHATAN</v>
          </cell>
          <cell r="AW739" t="str">
            <v>APBD</v>
          </cell>
        </row>
        <row r="740">
          <cell r="G740" t="str">
            <v>AKTIF</v>
          </cell>
          <cell r="N740" t="str">
            <v>Perempuan</v>
          </cell>
          <cell r="AE740" t="str">
            <v>SMA</v>
          </cell>
          <cell r="AG740" t="str">
            <v>SMA</v>
          </cell>
          <cell r="AW740" t="str">
            <v>BLUD</v>
          </cell>
        </row>
        <row r="741">
          <cell r="G741" t="str">
            <v>AKTIF</v>
          </cell>
          <cell r="N741" t="str">
            <v>Perempuan</v>
          </cell>
          <cell r="AE741" t="str">
            <v>D4</v>
          </cell>
          <cell r="AG741" t="str">
            <v>GIZI</v>
          </cell>
          <cell r="AW741" t="str">
            <v>PNS</v>
          </cell>
        </row>
        <row r="742">
          <cell r="G742" t="str">
            <v>AKTIF</v>
          </cell>
          <cell r="N742" t="str">
            <v>Perempuan</v>
          </cell>
          <cell r="AE742" t="str">
            <v>D3</v>
          </cell>
          <cell r="AG742" t="str">
            <v>KEPERAWATAN</v>
          </cell>
          <cell r="AW742" t="str">
            <v>PNS</v>
          </cell>
        </row>
        <row r="743">
          <cell r="G743" t="str">
            <v>AKTIF</v>
          </cell>
          <cell r="N743" t="str">
            <v>Perempuan</v>
          </cell>
          <cell r="AE743" t="str">
            <v>S1</v>
          </cell>
          <cell r="AG743" t="str">
            <v>SISTEM INFORMASI</v>
          </cell>
          <cell r="AW743" t="str">
            <v>APBD</v>
          </cell>
        </row>
        <row r="744">
          <cell r="G744" t="str">
            <v>AKTIF</v>
          </cell>
          <cell r="N744" t="str">
            <v>Perempuan</v>
          </cell>
          <cell r="AE744" t="str">
            <v>D3</v>
          </cell>
          <cell r="AG744" t="str">
            <v>KEPERAWATAN</v>
          </cell>
          <cell r="AW744" t="str">
            <v>APBD</v>
          </cell>
        </row>
        <row r="745">
          <cell r="G745" t="str">
            <v>AKTIF</v>
          </cell>
          <cell r="N745" t="str">
            <v>Perempuan</v>
          </cell>
          <cell r="AE745" t="str">
            <v>S1 + Profesi</v>
          </cell>
          <cell r="AG745" t="str">
            <v>NERS</v>
          </cell>
          <cell r="AW745" t="str">
            <v>PNS</v>
          </cell>
        </row>
        <row r="746">
          <cell r="G746" t="str">
            <v>AKTIF</v>
          </cell>
          <cell r="N746" t="str">
            <v>Laki-Laki</v>
          </cell>
          <cell r="AE746" t="str">
            <v>SMA</v>
          </cell>
          <cell r="AG746" t="str">
            <v>SMK</v>
          </cell>
          <cell r="AW746" t="str">
            <v>PNS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2348B-F32E-4961-8E45-A0E3896C5AFC}">
  <dimension ref="A1:Z1000"/>
  <sheetViews>
    <sheetView tabSelected="1" workbookViewId="0">
      <selection activeCell="G12" sqref="G12"/>
    </sheetView>
  </sheetViews>
  <sheetFormatPr defaultColWidth="12.6640625" defaultRowHeight="14.4" x14ac:dyDescent="0.3"/>
  <cols>
    <col min="1" max="1" width="3.33203125" customWidth="1"/>
    <col min="2" max="2" width="38.77734375" customWidth="1"/>
    <col min="3" max="3" width="14.33203125" customWidth="1"/>
    <col min="4" max="7" width="10.21875" customWidth="1"/>
  </cols>
  <sheetData>
    <row r="1" spans="1:26" ht="15.75" customHeigh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/>
      <c r="I1" s="4" t="s">
        <v>7</v>
      </c>
      <c r="J1" s="4" t="s">
        <v>8</v>
      </c>
      <c r="K1" s="4" t="s">
        <v>6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3">
      <c r="A2" s="5" t="s">
        <v>9</v>
      </c>
      <c r="B2" s="6"/>
      <c r="C2" s="6"/>
      <c r="D2" s="7">
        <f t="shared" ref="D2:G2" si="0">SUM(D3:D26)</f>
        <v>2</v>
      </c>
      <c r="E2" s="7">
        <f t="shared" si="0"/>
        <v>3</v>
      </c>
      <c r="F2" s="7">
        <f t="shared" si="0"/>
        <v>1</v>
      </c>
      <c r="G2" s="7">
        <f t="shared" si="0"/>
        <v>6</v>
      </c>
      <c r="H2" s="3"/>
      <c r="I2" s="7">
        <f t="shared" ref="I2:J2" si="1">SUM(I3:I26)</f>
        <v>1</v>
      </c>
      <c r="J2" s="7">
        <f t="shared" si="1"/>
        <v>5</v>
      </c>
      <c r="K2" s="7">
        <f t="shared" ref="K2:K180" si="2">SUM(I2:J2)</f>
        <v>6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3">
      <c r="A3" s="8">
        <v>1</v>
      </c>
      <c r="B3" s="9" t="s">
        <v>10</v>
      </c>
      <c r="C3" s="8" t="s">
        <v>11</v>
      </c>
      <c r="D3" s="8">
        <f>COUNTIFS([1]DATABASE!$G:$G,"AKTIF",[1]DATABASE!$AW:$AW,"PNS",[1]DATABASE!$AE:$AE,"S2 + SUB",[1]DATABASE!$AG:$AG,"Sub Spesialis Anak-Hematologi Onkologi")</f>
        <v>0</v>
      </c>
      <c r="E3" s="8">
        <f>COUNTIFS([1]DATABASE!$G:$G,"AKTIF",[1]DATABASE!$AW:$AW,"APBD",[1]DATABASE!$AE:$AE,"S2 + SUB",[1]DATABASE!$AG:$AG,"Sub Spesialis Anak-Hematologi Onkologi")</f>
        <v>0</v>
      </c>
      <c r="F3" s="8">
        <f>COUNTIFS([1]DATABASE!$G:$G,"AKTIF",[1]DATABASE!$AW:$AW,"BLUD",[1]DATABASE!$AE:$AE,"S2 + SUB",[1]DATABASE!$AG:$AG,"Sub Spesialis Anak-Hematologi Onkologi")</f>
        <v>0</v>
      </c>
      <c r="G3" s="10">
        <f t="shared" ref="G3:G26" si="3">SUM(D3:F3)</f>
        <v>0</v>
      </c>
      <c r="H3" s="3"/>
      <c r="I3" s="8">
        <f>COUNTIFS([1]DATABASE!$G:$G,"AKTIF",[1]DATABASE!$N:$N,"Perempuan",[1]DATABASE!$AE:$AE,"S2 + SUB",[1]DATABASE!$AG:$AG,"Sub Spesialis Anak-Hematologi Onkologi")</f>
        <v>0</v>
      </c>
      <c r="J3" s="8">
        <f>COUNTIFS([1]DATABASE!$G:$G,"AKTIF",[1]DATABASE!$N:$N,"Laki-Laki",[1]DATABASE!$AE:$AE,"S2 + SUB",[1]DATABASE!$AG:$AG,"Sub Spesialis Anak-Hematologi Onkologi")</f>
        <v>0</v>
      </c>
      <c r="K3" s="8">
        <f t="shared" si="2"/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3">
      <c r="A4" s="8">
        <v>2</v>
      </c>
      <c r="B4" s="9" t="s">
        <v>12</v>
      </c>
      <c r="C4" s="8" t="s">
        <v>11</v>
      </c>
      <c r="D4" s="8">
        <f>COUNTIFS([1]DATABASE!$G:$G,"AKTIF",[1]DATABASE!$AW:$AW,"PNS",[1]DATABASE!$AE:$AE,"S2 + SUB",[1]DATABASE!$AG:$AG,"Sub Spesialis Anak-Nefrologi")</f>
        <v>0</v>
      </c>
      <c r="E4" s="8">
        <f>COUNTIFS([1]DATABASE!$G:$G,"AKTIF",[1]DATABASE!$AW:$AW,"APBD",[1]DATABASE!$AE:$AE,"S2 + SUB",[1]DATABASE!$AG:$AG,"Sub Spesialis Anak-Nefrologi")</f>
        <v>0</v>
      </c>
      <c r="F4" s="8">
        <f>COUNTIFS([1]DATABASE!$G:$G,"AKTIF",[1]DATABASE!$AW:$AW,"BLUD",[1]DATABASE!$AE:$AE,"S2 + SUB",[1]DATABASE!$AG:$AG,"Sub Spesialis Anak-Nefrologi")</f>
        <v>0</v>
      </c>
      <c r="G4" s="10">
        <f t="shared" si="3"/>
        <v>0</v>
      </c>
      <c r="H4" s="3"/>
      <c r="I4" s="8">
        <f>COUNTIFS([1]DATABASE!$G:$G,"AKTIF",[1]DATABASE!$N:$N,"Perempuan",[1]DATABASE!$AE:$AE,"S2 + SUB",[1]DATABASE!$AG:$AG,"Sub Spesialis Anak-Nefrologi")</f>
        <v>0</v>
      </c>
      <c r="J4" s="8">
        <f>COUNTIFS([1]DATABASE!$G:$G,"AKTIF",[1]DATABASE!$N:$N,"Laki-Laki",[1]DATABASE!$AE:$AE,"S2 + SUB",[1]DATABASE!$AG:$AG,"Sub Spesialis Anak-Nefrologi")</f>
        <v>0</v>
      </c>
      <c r="K4" s="8">
        <f t="shared" si="2"/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3">
      <c r="A5" s="8">
        <v>3</v>
      </c>
      <c r="B5" s="9" t="s">
        <v>13</v>
      </c>
      <c r="C5" s="8" t="s">
        <v>11</v>
      </c>
      <c r="D5" s="8">
        <f>COUNTIFS([1]DATABASE!$G:$G,"AKTIF",[1]DATABASE!$AW:$AW,"PNS",[1]DATABASE!$AE:$AE,"S2 + SUB",[1]DATABASE!$AG:$AG,"Sub Spesialis Anak-Neurologi")</f>
        <v>0</v>
      </c>
      <c r="E5" s="8">
        <f>COUNTIFS([1]DATABASE!$G:$G,"AKTIF",[1]DATABASE!$AW:$AW,"APBD",[1]DATABASE!$AE:$AE,"S2 + SUB",[1]DATABASE!$AG:$AG,"Sub Spesialis Anak-Neurologi")</f>
        <v>0</v>
      </c>
      <c r="F5" s="8">
        <f>COUNTIFS([1]DATABASE!$G:$G,"AKTIF",[1]DATABASE!$AW:$AW,"BLUD",[1]DATABASE!$AE:$AE,"S2 + SUB",[1]DATABASE!$AG:$AG,"Sub Spesialis Anak-Neurologi")</f>
        <v>0</v>
      </c>
      <c r="G5" s="10">
        <f t="shared" si="3"/>
        <v>0</v>
      </c>
      <c r="H5" s="3"/>
      <c r="I5" s="8">
        <f>COUNTIFS([1]DATABASE!$G:$G,"AKTIF",[1]DATABASE!$N:$N,"Perempuan",[1]DATABASE!$AE:$AE,"S2 + SUB",[1]DATABASE!$AG:$AG,"Sub Spesialis Anak-Neurologi")</f>
        <v>0</v>
      </c>
      <c r="J5" s="8">
        <f>COUNTIFS([1]DATABASE!$G:$G,"AKTIF",[1]DATABASE!$N:$N,"Laki-Laki",[1]DATABASE!$AE:$AE,"S2 + SUB",[1]DATABASE!$AG:$AG,"Sub Spesialis Anak-Neurologi")</f>
        <v>0</v>
      </c>
      <c r="K5" s="8">
        <f t="shared" si="2"/>
        <v>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">
      <c r="A6" s="8">
        <v>7</v>
      </c>
      <c r="B6" s="9" t="s">
        <v>14</v>
      </c>
      <c r="C6" s="8" t="s">
        <v>11</v>
      </c>
      <c r="D6" s="8">
        <f>COUNTIFS([1]DATABASE!$G:$G,"AKTIF",[1]DATABASE!$AW:$AW,"PNS",[1]DATABASE!$AE:$AE,"S2 + SUB",[1]DATABASE!$AG:$AG,"Sub Spesialis Anak-Tumbuh Kembang Ped. Sosial")</f>
        <v>0</v>
      </c>
      <c r="E6" s="8">
        <f>COUNTIFS([1]DATABASE!$G:$G,"AKTIF",[1]DATABASE!$AW:$AW,"APBD",[1]DATABASE!$AE:$AE,"S2 + SUB",[1]DATABASE!$AG:$AG,"Sub Spesialis Anak-Tumbuh Kembang Ped. Sosial")</f>
        <v>0</v>
      </c>
      <c r="F6" s="8">
        <f>COUNTIFS([1]DATABASE!$G:$G,"AKTIF",[1]DATABASE!$AW:$AW,"BLUD",[1]DATABASE!$AE:$AE,"S2 + SUB",[1]DATABASE!$AG:$AG,"Sub Spesialis Anak-Tumbuh Kembang Ped. Sosial")</f>
        <v>0</v>
      </c>
      <c r="G6" s="10">
        <f t="shared" si="3"/>
        <v>0</v>
      </c>
      <c r="H6" s="3"/>
      <c r="I6" s="8">
        <f>COUNTIFS([1]DATABASE!$G:$G,"AKTIF",[1]DATABASE!$N:$N,"Perempuan",[1]DATABASE!$AE:$AE,"S2 + SUB",[1]DATABASE!$AG:$AG,"Sub Spesialis Anak-Tumbuh Kembang Ped. Sosial")</f>
        <v>0</v>
      </c>
      <c r="J6" s="8">
        <f>COUNTIFS([1]DATABASE!$G:$G,"AKTIF",[1]DATABASE!$N:$N,"Laki-Laki",[1]DATABASE!$AE:$AE,"S2 + SUB",[1]DATABASE!$AG:$AG,"Sub Spesialis Anak-Tumbuh Kembang Ped. Sosial")</f>
        <v>0</v>
      </c>
      <c r="K6" s="8">
        <f t="shared" si="2"/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">
      <c r="A7" s="8">
        <v>4</v>
      </c>
      <c r="B7" s="9" t="s">
        <v>15</v>
      </c>
      <c r="C7" s="8" t="s">
        <v>11</v>
      </c>
      <c r="D7" s="8">
        <f>COUNTIFS([1]DATABASE!$G:$G,"AKTIF",[1]DATABASE!$AW:$AW,"PNS",[1]DATABASE!$AE:$AE,"S2 + SUB",[1]DATABASE!$AG:$AG,"Sub Spesialis Anestesi-Intensif Care/Icu")</f>
        <v>0</v>
      </c>
      <c r="E7" s="8">
        <f>COUNTIFS([1]DATABASE!$G:$G,"AKTIF",[1]DATABASE!$AW:$AW,"APBD",[1]DATABASE!$AE:$AE,"S2 + SUB",[1]DATABASE!$AG:$AG,"Sub Spesialis Anestesi-Intensif Care/Icu")</f>
        <v>0</v>
      </c>
      <c r="F7" s="8">
        <f>COUNTIFS([1]DATABASE!$G:$G,"AKTIF",[1]DATABASE!$AW:$AW,"BLUD",[1]DATABASE!$AE:$AE,"S2 + SUB",[1]DATABASE!$AG:$AG,"Sub Spesialis Anestesi-Intensif Care/Icu")</f>
        <v>0</v>
      </c>
      <c r="G7" s="10">
        <f t="shared" si="3"/>
        <v>0</v>
      </c>
      <c r="H7" s="3"/>
      <c r="I7" s="8">
        <f>COUNTIFS([1]DATABASE!$G:$G,"AKTIF",[1]DATABASE!$N:$N,"Perempuan",[1]DATABASE!$AE:$AE,"S2 + SUB",[1]DATABASE!$AG:$AG,"Sub Spesialis Anestesi-Intensif Care/Icu")</f>
        <v>0</v>
      </c>
      <c r="J7" s="8">
        <f>COUNTIFS([1]DATABASE!$G:$G,"AKTIF",[1]DATABASE!$N:$N,"Laki-Laki",[1]DATABASE!$AE:$AE,"S2 + SUB",[1]DATABASE!$AG:$AG,"Sub Spesialis Anestesi-Intensif Care/Icu")</f>
        <v>0</v>
      </c>
      <c r="K7" s="8">
        <f t="shared" si="2"/>
        <v>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3">
      <c r="A8" s="8">
        <v>5</v>
      </c>
      <c r="B8" s="9" t="s">
        <v>16</v>
      </c>
      <c r="C8" s="8" t="s">
        <v>11</v>
      </c>
      <c r="D8" s="8">
        <f>COUNTIFS([1]DATABASE!$G:$G,"AKTIF",[1]DATABASE!$AW:$AW,"PNS",[1]DATABASE!$AE:$AE,"S2 + SUB",[1]DATABASE!$AG:$AG,"Sub Spesialis Bedah-Bedah Digestif")</f>
        <v>0</v>
      </c>
      <c r="E8" s="8">
        <f>COUNTIFS([1]DATABASE!$G:$G,"AKTIF",[1]DATABASE!$AW:$AW,"APBD",[1]DATABASE!$AE:$AE,"S2 + SUB",[1]DATABASE!$AG:$AG,"Sub Spesialis Bedah-Bedah Digestif")</f>
        <v>1</v>
      </c>
      <c r="F8" s="8">
        <f>COUNTIFS([1]DATABASE!$G:$G,"AKTIF",[1]DATABASE!$AW:$AW,"BLUD",[1]DATABASE!$AE:$AE,"S2 + SUB",[1]DATABASE!$AG:$AG,"Sub Spesialis Bedah-Bedah Digestif")</f>
        <v>0</v>
      </c>
      <c r="G8" s="10">
        <f t="shared" si="3"/>
        <v>1</v>
      </c>
      <c r="H8" s="3"/>
      <c r="I8" s="8">
        <f>COUNTIFS([1]DATABASE!$G:$G,"AKTIF",[1]DATABASE!$N:$N,"Perempuan",[1]DATABASE!$AE:$AE,"S2 + SUB",[1]DATABASE!$AG:$AG,"Sub Spesialis Bedah-Bedah Digestif")</f>
        <v>0</v>
      </c>
      <c r="J8" s="8">
        <f>COUNTIFS([1]DATABASE!$G:$G,"AKTIF",[1]DATABASE!$N:$N,"Laki-Laki",[1]DATABASE!$AE:$AE,"S2 + SUB",[1]DATABASE!$AG:$AG,"Sub Spesialis Bedah-Bedah Digestif")</f>
        <v>1</v>
      </c>
      <c r="K8" s="8">
        <f t="shared" si="2"/>
        <v>1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3">
      <c r="A9" s="8">
        <v>6</v>
      </c>
      <c r="B9" s="9" t="s">
        <v>17</v>
      </c>
      <c r="C9" s="8" t="s">
        <v>11</v>
      </c>
      <c r="D9" s="8">
        <f>COUNTIFS([1]DATABASE!$G:$G,"AKTIF",[1]DATABASE!$AW:$AW,"PNS",[1]DATABASE!$AE:$AE,"S2 + SUB",[1]DATABASE!$AG:$AG,"Sub Spesialis Bedah - Bedah Kepala Dan Leher")</f>
        <v>1</v>
      </c>
      <c r="E9" s="8">
        <f>COUNTIFS([1]DATABASE!$G:$G,"AKTIF",[1]DATABASE!$AW:$AW,"APBD",[1]DATABASE!$AE:$AE,"S2 + SUB",[1]DATABASE!$AG:$AG,"Sub Spesialis Bedah - Bedah Kepala Dan Leher")</f>
        <v>0</v>
      </c>
      <c r="F9" s="8">
        <f>COUNTIFS([1]DATABASE!$G:$G,"AKTIF",[1]DATABASE!$AW:$AW,"BLUD",[1]DATABASE!$AE:$AE,"S2 + SUB",[1]DATABASE!$AG:$AG,"Sub Spesialis Bedah - Bedah Kepala Dan Leher")</f>
        <v>0</v>
      </c>
      <c r="G9" s="10">
        <f t="shared" si="3"/>
        <v>1</v>
      </c>
      <c r="H9" s="3"/>
      <c r="I9" s="8">
        <f>COUNTIFS([1]DATABASE!$G:$G,"AKTIF",[1]DATABASE!$N:$N,"Perempuan",[1]DATABASE!$AE:$AE,"S2 + SUB",[1]DATABASE!$AG:$AG,"Sub Spesialis Bedah - Bedah Kepala Dan Leher")</f>
        <v>0</v>
      </c>
      <c r="J9" s="8">
        <f>COUNTIFS([1]DATABASE!$G:$G,"AKTIF",[1]DATABASE!$N:$N,"Laki-Laki",[1]DATABASE!$AE:$AE,"S2 + SUB",[1]DATABASE!$AG:$AG,"Sub Spesialis Bedah - Bedah Kepala Dan Leher")</f>
        <v>1</v>
      </c>
      <c r="K9" s="8">
        <f t="shared" si="2"/>
        <v>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3">
      <c r="A10" s="8">
        <v>8</v>
      </c>
      <c r="B10" s="9" t="s">
        <v>18</v>
      </c>
      <c r="C10" s="8" t="s">
        <v>11</v>
      </c>
      <c r="D10" s="8">
        <f>COUNTIFS([1]DATABASE!$G:$G,"AKTIF",[1]DATABASE!$AW:$AW,"PNS",[1]DATABASE!$AE:$AE,"S2 + SUB",[1]DATABASE!$AG:$AG,"Sub Spesialis Bedah-Bedah Onkologi")</f>
        <v>0</v>
      </c>
      <c r="E10" s="8">
        <f>COUNTIFS([1]DATABASE!$G:$G,"AKTIF",[1]DATABASE!$AW:$AW,"APBD",[1]DATABASE!$AE:$AE,"S2 + SUB",[1]DATABASE!$AG:$AG,"Sub Spesialis Bedah-Bedah Onkologi")</f>
        <v>0</v>
      </c>
      <c r="F10" s="8">
        <f>COUNTIFS([1]DATABASE!$G:$G,"AKTIF",[1]DATABASE!$AW:$AW,"BLUD",[1]DATABASE!$AE:$AE,"S2 + SUB",[1]DATABASE!$AG:$AG,"Sub Spesialis Bedah-Bedah Onkologi")</f>
        <v>0</v>
      </c>
      <c r="G10" s="10">
        <f t="shared" si="3"/>
        <v>0</v>
      </c>
      <c r="H10" s="3"/>
      <c r="I10" s="8">
        <f>COUNTIFS([1]DATABASE!$G:$G,"AKTIF",[1]DATABASE!$N:$N,"Perempuan",[1]DATABASE!$AE:$AE,"S2 + SUB",[1]DATABASE!$AG:$AG,"Sub Spesialis Bedah-Bedah Onkologi")</f>
        <v>0</v>
      </c>
      <c r="J10" s="8">
        <f>COUNTIFS([1]DATABASE!$G:$G,"AKTIF",[1]DATABASE!$N:$N,"Laki-Laki",[1]DATABASE!$AE:$AE,"S2 + SUB",[1]DATABASE!$AG:$AG,"Sub Spesialis Bedah-Bedah Onkologi")</f>
        <v>0</v>
      </c>
      <c r="K10" s="8">
        <f t="shared" si="2"/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3">
      <c r="A11" s="8">
        <v>9</v>
      </c>
      <c r="B11" s="9" t="s">
        <v>19</v>
      </c>
      <c r="C11" s="8" t="s">
        <v>11</v>
      </c>
      <c r="D11" s="8">
        <f>COUNTIFS([1]DATABASE!$G:$G,"AKTIF",[1]DATABASE!$AW:$AW,"PNS",[1]DATABASE!$AE:$AE,"S2 + SUB",[1]DATABASE!$AG:$AG,"Sub Spesialis Bedah Saraf-Onkologi")</f>
        <v>0</v>
      </c>
      <c r="E11" s="8">
        <f>COUNTIFS([1]DATABASE!$G:$G,"AKTIF",[1]DATABASE!$AW:$AW,"APBD",[1]DATABASE!$AE:$AE,"S2 + SUB",[1]DATABASE!$AG:$AG,"Sub Spesialis Bedah Saraf-Onkologi")</f>
        <v>0</v>
      </c>
      <c r="F11" s="8">
        <f>COUNTIFS([1]DATABASE!$G:$G,"AKTIF",[1]DATABASE!$AW:$AW,"BLUD",[1]DATABASE!$AE:$AE,"S2 + SUB",[1]DATABASE!$AG:$AG,"Sub Spesialis Bedah Saraf-Onkologi")</f>
        <v>0</v>
      </c>
      <c r="G11" s="10">
        <f t="shared" si="3"/>
        <v>0</v>
      </c>
      <c r="H11" s="3"/>
      <c r="I11" s="8">
        <f>COUNTIFS([1]DATABASE!$G:$G,"AKTIF",[1]DATABASE!$N:$N,"Perempuan",[1]DATABASE!$AE:$AE,"S2 + SUB",[1]DATABASE!$AG:$AG,"Sub Spesialis Bedah Saraf-Onkologi")</f>
        <v>0</v>
      </c>
      <c r="J11" s="8">
        <f>COUNTIFS([1]DATABASE!$G:$G,"AKTIF",[1]DATABASE!$N:$N,"Laki-Laki",[1]DATABASE!$AE:$AE,"S2 + SUB",[1]DATABASE!$AG:$AG,"Sub Spesialis Bedah Saraf-Onkologi")</f>
        <v>0</v>
      </c>
      <c r="K11" s="8">
        <f t="shared" si="2"/>
        <v>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3">
      <c r="A12" s="8">
        <v>10</v>
      </c>
      <c r="B12" s="9" t="s">
        <v>20</v>
      </c>
      <c r="C12" s="8" t="s">
        <v>11</v>
      </c>
      <c r="D12" s="8">
        <f>COUNTIFS([1]DATABASE!$G:$G,"AKTIF",[1]DATABASE!$AW:$AW,"PNS",[1]DATABASE!$AE:$AE,"S2 + SUB",[1]DATABASE!$AG:$AG,"Sub Spesialis Bedah Saraf-Vaskular")</f>
        <v>0</v>
      </c>
      <c r="E12" s="8">
        <f>COUNTIFS([1]DATABASE!$G:$G,"AKTIF",[1]DATABASE!$AW:$AW,"APBD",[1]DATABASE!$AE:$AE,"S2 + SUB",[1]DATABASE!$AG:$AG,"Sub Spesialis Bedah Saraf-Vaskular")</f>
        <v>0</v>
      </c>
      <c r="F12" s="8">
        <f>COUNTIFS([1]DATABASE!$G:$G,"AKTIF",[1]DATABASE!$AW:$AW,"BLUD",[1]DATABASE!$AE:$AE,"S2 + SUB",[1]DATABASE!$AG:$AG,"Sub Spesialis Bedah Saraf-Vaskular")</f>
        <v>0</v>
      </c>
      <c r="G12" s="10">
        <f t="shared" si="3"/>
        <v>0</v>
      </c>
      <c r="H12" s="3"/>
      <c r="I12" s="8">
        <f>COUNTIFS([1]DATABASE!$G:$G,"AKTIF",[1]DATABASE!$N:$N,"Perempuan",[1]DATABASE!$AE:$AE,"S2 + SUB",[1]DATABASE!$AG:$AG,"Sub Spesialis Bedah Saraf-Vaskular")</f>
        <v>0</v>
      </c>
      <c r="J12" s="8">
        <f>COUNTIFS([1]DATABASE!$G:$G,"AKTIF",[1]DATABASE!$N:$N,"Laki-Laki",[1]DATABASE!$AE:$AE,"S2 + SUB",[1]DATABASE!$AG:$AG,"Sub Spesialis Bedah Saraf-Vaskular")</f>
        <v>0</v>
      </c>
      <c r="K12" s="8">
        <f t="shared" si="2"/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3">
      <c r="A13" s="8">
        <v>11</v>
      </c>
      <c r="B13" s="9" t="s">
        <v>21</v>
      </c>
      <c r="C13" s="8" t="s">
        <v>11</v>
      </c>
      <c r="D13" s="8">
        <f>COUNTIFS([1]DATABASE!$G:$G,"AKTIF",[1]DATABASE!$AW:$AW,"PNS",[1]DATABASE!$AE:$AE,"S2 + SUB",[1]DATABASE!$AG:$AG,"Sub Spesialis Bedah-Bedah Vaskuler Dan Endovaskuler")</f>
        <v>0</v>
      </c>
      <c r="E13" s="8">
        <f>COUNTIFS([1]DATABASE!$G:$G,"AKTIF",[1]DATABASE!$AW:$AW,"APBD",[1]DATABASE!$AE:$AE,"S2 + SUB",[1]DATABASE!$AG:$AG,"Sub Spesialis Bedah-Bedah Vaskuler Dan Endovaskuler")</f>
        <v>0</v>
      </c>
      <c r="F13" s="8">
        <f>COUNTIFS([1]DATABASE!$G:$G,"AKTIF",[1]DATABASE!$AW:$AW,"BLUD",[1]DATABASE!$AE:$AE,"S2 + SUB",[1]DATABASE!$AG:$AG,"Sub Spesialis Bedah-Bedah Vaskuler Dan Endovaskuler")</f>
        <v>0</v>
      </c>
      <c r="G13" s="10">
        <f t="shared" si="3"/>
        <v>0</v>
      </c>
      <c r="H13" s="3"/>
      <c r="I13" s="8">
        <f>COUNTIFS([1]DATABASE!$G:$G,"AKTIF",[1]DATABASE!$N:$N,"Perempuan",[1]DATABASE!$AE:$AE,"S2 + SUB",[1]DATABASE!$AG:$AG,"Sub Spesialis Bedah-Bedah Vaskuler Dan Endovaskuler")</f>
        <v>0</v>
      </c>
      <c r="J13" s="8">
        <f>COUNTIFS([1]DATABASE!$G:$G,"AKTIF",[1]DATABASE!$N:$N,"Laki-Laki",[1]DATABASE!$AE:$AE,"S2 + SUB",[1]DATABASE!$AG:$AG,"Sub Spesialis Bedah-Bedah Vaskuler Dan Endovaskuler")</f>
        <v>0</v>
      </c>
      <c r="K13" s="8">
        <f t="shared" si="2"/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3">
      <c r="A14" s="8">
        <v>12</v>
      </c>
      <c r="B14" s="9" t="s">
        <v>22</v>
      </c>
      <c r="C14" s="8" t="s">
        <v>11</v>
      </c>
      <c r="D14" s="8">
        <f>COUNTIFS([1]DATABASE!$G:$G,"AKTIF",[1]DATABASE!$AW:$AW,"PNS",[1]DATABASE!$AE:$AE,"S2 + SUB",[1]DATABASE!$AG:$AG,"Sub Spesialis Jantung Dan Pembuluh Darah-Kardiologi Intervensi")</f>
        <v>0</v>
      </c>
      <c r="E14" s="8">
        <f>COUNTIFS([1]DATABASE!$G:$G,"AKTIF",[1]DATABASE!$AW:$AW,"APBD",[1]DATABASE!$AE:$AE,"S2 + SUB",[1]DATABASE!$AG:$AG,"Sub Spesialis Jantung Dan Pembuluh Darah-Kardiologi Intervensi")</f>
        <v>0</v>
      </c>
      <c r="F14" s="8">
        <f>COUNTIFS([1]DATABASE!$G:$G,"AKTIF",[1]DATABASE!$AW:$AW,"BLUD",[1]DATABASE!$AE:$AE,"S2 + SUB",[1]DATABASE!$AG:$AG,"Sub Spesialis Jantung Dan Pembuluh Darah-Kardiologi Intervensi")</f>
        <v>0</v>
      </c>
      <c r="G14" s="10">
        <f t="shared" si="3"/>
        <v>0</v>
      </c>
      <c r="H14" s="3"/>
      <c r="I14" s="8">
        <f>COUNTIFS([1]DATABASE!$G:$G,"AKTIF",[1]DATABASE!$N:$N,"Perempuan",[1]DATABASE!$AE:$AE,"S2 + SUB",[1]DATABASE!$AG:$AG,"Sub Spesialis Jantung Dan Pembuluh Darah-Kardiologi Intervensi")</f>
        <v>0</v>
      </c>
      <c r="J14" s="8">
        <f>COUNTIFS([1]DATABASE!$G:$G,"AKTIF",[1]DATABASE!$N:$N,"Laki-Laki",[1]DATABASE!$AE:$AE,"S2 + SUB",[1]DATABASE!$AG:$AG,"Sub Spesialis Jantung Dan Pembuluh Darah-Kardiologi Intervensi")</f>
        <v>0</v>
      </c>
      <c r="K14" s="8">
        <f t="shared" si="2"/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3">
      <c r="A15" s="8">
        <v>13</v>
      </c>
      <c r="B15" s="9" t="s">
        <v>23</v>
      </c>
      <c r="C15" s="8" t="s">
        <v>11</v>
      </c>
      <c r="D15" s="8">
        <f>COUNTIFS([1]DATABASE!$G:$G,"AKTIF",[1]DATABASE!$AW:$AW,"PNS",[1]DATABASE!$AE:$AE,"S2 + SUB",[1]DATABASE!$AG:$AG,"Sub Spesialis Neurologi- Neuro-Onkologi")</f>
        <v>0</v>
      </c>
      <c r="E15" s="8">
        <f>COUNTIFS([1]DATABASE!$G:$G,"AKTIF",[1]DATABASE!$AW:$AW,"APBD",[1]DATABASE!$AE:$AE,"S2 + SUB",[1]DATABASE!$AG:$AG,"Sub Spesialis Neurologi- Neuro-Onkologi")</f>
        <v>0</v>
      </c>
      <c r="F15" s="8">
        <f>COUNTIFS([1]DATABASE!$G:$G,"AKTIF",[1]DATABASE!$AW:$AW,"BLUD",[1]DATABASE!$AE:$AE,"S2 + SUB",[1]DATABASE!$AG:$AG,"Sub Spesialis Neurologi- Neuro-Onkologi")</f>
        <v>0</v>
      </c>
      <c r="G15" s="10">
        <f t="shared" si="3"/>
        <v>0</v>
      </c>
      <c r="H15" s="3"/>
      <c r="I15" s="8">
        <f>COUNTIFS([1]DATABASE!$G:$G,"AKTIF",[1]DATABASE!$N:$N,"Perempuan",[1]DATABASE!$AE:$AE,"S2 + SUB",[1]DATABASE!$AG:$AG,"Sub Spesialis Neurologi- Neuro-Onkologi")</f>
        <v>0</v>
      </c>
      <c r="J15" s="8">
        <f>COUNTIFS([1]DATABASE!$G:$G,"AKTIF",[1]DATABASE!$N:$N,"Laki-Laki",[1]DATABASE!$AE:$AE,"S2 + SUB",[1]DATABASE!$AG:$AG,"Sub Spesialis Neurologi- Neuro-Onkologi")</f>
        <v>0</v>
      </c>
      <c r="K15" s="8">
        <f t="shared" si="2"/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3">
      <c r="A16" s="8">
        <v>14</v>
      </c>
      <c r="B16" s="9" t="s">
        <v>24</v>
      </c>
      <c r="C16" s="8" t="s">
        <v>11</v>
      </c>
      <c r="D16" s="8">
        <f>COUNTIFS([1]DATABASE!$G:$G,"AKTIF",[1]DATABASE!$AW:$AW,"PNS",[1]DATABASE!$AE:$AE,"S2 + SUB",[1]DATABASE!$AG:$AG,"Sub Spesialis Neurologi- Neurovaskular, Neurointervensi, Imaging, Otologi, Oftalmologi")</f>
        <v>0</v>
      </c>
      <c r="E16" s="8">
        <f>COUNTIFS([1]DATABASE!$G:$G,"AKTIF",[1]DATABASE!$AW:$AW,"APBD",[1]DATABASE!$AE:$AE,"S2 + SUB",[1]DATABASE!$AG:$AG,"Sub Spesialis Neurologi- Neurovaskular, Neurointervensi, Imaging, Otologi, Oftalmologi")</f>
        <v>0</v>
      </c>
      <c r="F16" s="8">
        <f>COUNTIFS([1]DATABASE!$G:$G,"AKTIF",[1]DATABASE!$AW:$AW,"BLUD",[1]DATABASE!$AE:$AE,"S2 + SUB",[1]DATABASE!$AG:$AG,"Sub Spesialis Neurologi- Neurovaskular, Neurointervensi, Imaging, Otologi, Oftalmologi")</f>
        <v>0</v>
      </c>
      <c r="G16" s="10">
        <f t="shared" si="3"/>
        <v>0</v>
      </c>
      <c r="H16" s="3"/>
      <c r="I16" s="8">
        <f>COUNTIFS([1]DATABASE!$G:$G,"AKTIF",[1]DATABASE!$N:$N,"Perempuan",[1]DATABASE!$AE:$AE,"S2 + SUB",[1]DATABASE!$AG:$AG,"Sub Spesialis Neurologi- Neurovaskular, Neurointervensi, Imaging, Otologi, Oftalmologi")</f>
        <v>0</v>
      </c>
      <c r="J16" s="8">
        <f>COUNTIFS([1]DATABASE!$G:$G,"AKTIF",[1]DATABASE!$N:$N,"Laki-Laki",[1]DATABASE!$AE:$AE,"S2 + SUB",[1]DATABASE!$AG:$AG,"Sub Spesialis Neurologi- Neurovaskular, Neurointervensi, Imaging, Otologi, Oftalmologi")</f>
        <v>0</v>
      </c>
      <c r="K16" s="8">
        <f t="shared" si="2"/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">
      <c r="A17" s="8">
        <v>15</v>
      </c>
      <c r="B17" s="9" t="s">
        <v>25</v>
      </c>
      <c r="C17" s="8" t="s">
        <v>11</v>
      </c>
      <c r="D17" s="8">
        <f>COUNTIFS([1]DATABASE!$G:$G,"AKTIF",[1]DATABASE!$AW:$AW,"PNS",[1]DATABASE!$AE:$AE,"S2 + SUB",[1]DATABASE!$AG:$AG,"Sub Spesialis Obgyn- Fetomaternal (KFM)")</f>
        <v>0</v>
      </c>
      <c r="E17" s="8">
        <f>COUNTIFS([1]DATABASE!$G:$G,"AKTIF",[1]DATABASE!$AW:$AW,"APBD",[1]DATABASE!$AE:$AE,"S2 + SUB",[1]DATABASE!$AG:$AG,"Sub Spesialis Obgyn- Fetomaternal (KFM)")</f>
        <v>0</v>
      </c>
      <c r="F17" s="8">
        <f>COUNTIFS([1]DATABASE!$G:$G,"AKTIF",[1]DATABASE!$AW:$AW,"BLUD",[1]DATABASE!$AE:$AE,"S2 + SUB",[1]DATABASE!$AG:$AG,"Sub Spesialis Obgyn- Fetomaternal (KFM)")</f>
        <v>0</v>
      </c>
      <c r="G17" s="10">
        <f t="shared" si="3"/>
        <v>0</v>
      </c>
      <c r="H17" s="3"/>
      <c r="I17" s="8">
        <f>COUNTIFS([1]DATABASE!$G:$G,"AKTIF",[1]DATABASE!$N:$N,"Perempuan",[1]DATABASE!$AE:$AE,"S2 + SUB",[1]DATABASE!$AG:$AG,"Sub Spesialis Obgyn- Fetomaternal (KFM)")</f>
        <v>0</v>
      </c>
      <c r="J17" s="8">
        <f>COUNTIFS([1]DATABASE!$G:$G,"AKTIF",[1]DATABASE!$N:$N,"Laki-Laki",[1]DATABASE!$AE:$AE,"S2 + SUB",[1]DATABASE!$AG:$AG,"Sub Spesialis Obgyn- Fetomaternal (KFM)")</f>
        <v>0</v>
      </c>
      <c r="K17" s="8">
        <f t="shared" si="2"/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">
      <c r="A18" s="8">
        <v>16</v>
      </c>
      <c r="B18" s="9" t="s">
        <v>26</v>
      </c>
      <c r="C18" s="8" t="s">
        <v>11</v>
      </c>
      <c r="D18" s="8">
        <f>COUNTIFS([1]DATABASE!$G:$G,"AKTIF",[1]DATABASE!$AW:$AW,"PNS",[1]DATABASE!$AE:$AE,"S2 + SUB",[1]DATABASE!$AG:$AG,"Sub Spesialis Obgyn- Onkologi Ginekologi Konk")</f>
        <v>0</v>
      </c>
      <c r="E18" s="8">
        <f>COUNTIFS([1]DATABASE!$G:$G,"AKTIF",[1]DATABASE!$AW:$AW,"APBD",[1]DATABASE!$AE:$AE,"S2 + SUB",[1]DATABASE!$AG:$AG,"Sub Spesialis Obgyn- Onkologi Ginekologi Konk")</f>
        <v>0</v>
      </c>
      <c r="F18" s="8">
        <f>COUNTIFS([1]DATABASE!$G:$G,"AKTIF",[1]DATABASE!$AW:$AW,"BLUD",[1]DATABASE!$AE:$AE,"S2 + SUB",[1]DATABASE!$AG:$AG,"Sub Spesialis Obgyn- Onkologi Ginekologi Konk")</f>
        <v>0</v>
      </c>
      <c r="G18" s="10">
        <f t="shared" si="3"/>
        <v>0</v>
      </c>
      <c r="H18" s="3"/>
      <c r="I18" s="8">
        <f>COUNTIFS([1]DATABASE!$G:$G,"AKTIF",[1]DATABASE!$N:$N,"Perempuan",[1]DATABASE!$AE:$AE,"S2 + SUB",[1]DATABASE!$AG:$AG,"Sub Spesialis Obgyn- Onkologi Ginekologi Konk")</f>
        <v>0</v>
      </c>
      <c r="J18" s="8">
        <f>COUNTIFS([1]DATABASE!$G:$G,"AKTIF",[1]DATABASE!$N:$N,"Laki-Laki",[1]DATABASE!$AE:$AE,"S2 + SUB",[1]DATABASE!$AG:$AG,"Sub Spesialis Obgyn- Onkologi Ginekologi Konk")</f>
        <v>0</v>
      </c>
      <c r="K18" s="8">
        <f t="shared" si="2"/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">
      <c r="A19" s="8">
        <v>17</v>
      </c>
      <c r="B19" s="9" t="s">
        <v>27</v>
      </c>
      <c r="C19" s="8" t="s">
        <v>11</v>
      </c>
      <c r="D19" s="8">
        <f>COUNTIFS([1]DATABASE!$G:$G,"AKTIF",[1]DATABASE!$AW:$AW,"PNS",[1]DATABASE!$AE:$AE,"S2 + SUB",[1]DATABASE!$AG:$AG,"Sub Spesialis Penyakit Dalam-Endokrin Metabolik dan Diabetes")</f>
        <v>0</v>
      </c>
      <c r="E19" s="8">
        <f>COUNTIFS([1]DATABASE!$G:$G,"AKTIF",[1]DATABASE!$AW:$AW,"APBD",[1]DATABASE!$AE:$AE,"S2 + SUB",[1]DATABASE!$AG:$AG,"Sub Spesialis Penyakit Dalam-Endokrin Metabolik dan Diabetes")</f>
        <v>0</v>
      </c>
      <c r="F19" s="8">
        <f>COUNTIFS([1]DATABASE!$G:$G,"AKTIF",[1]DATABASE!$AW:$AW,"BLUD",[1]DATABASE!$AE:$AE,"S2 + SUB",[1]DATABASE!$AG:$AG,"Sub Spesialis Penyakit Dalam-Endokrin Metabolik dan Diabetes")</f>
        <v>0</v>
      </c>
      <c r="G19" s="10">
        <f t="shared" si="3"/>
        <v>0</v>
      </c>
      <c r="H19" s="3"/>
      <c r="I19" s="8">
        <f>COUNTIFS([1]DATABASE!$G:$G,"AKTIF",[1]DATABASE!$N:$N,"Perempuan",[1]DATABASE!$AE:$AE,"S2 + SUB",[1]DATABASE!$AG:$AG,"Sub Spesialis Penyakit Dalam-Endokrin Metabolik dan Diabetes")</f>
        <v>0</v>
      </c>
      <c r="J19" s="8">
        <f>COUNTIFS([1]DATABASE!$G:$G,"AKTIF",[1]DATABASE!$N:$N,"Laki-Laki",[1]DATABASE!$AE:$AE,"S2 + SUB",[1]DATABASE!$AG:$AG,"Sub Spesialis Penyakit Dalam-Endokrin Metabolik dan Diabetes")</f>
        <v>0</v>
      </c>
      <c r="K19" s="8">
        <f t="shared" si="2"/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">
      <c r="A20" s="8">
        <v>18</v>
      </c>
      <c r="B20" s="9" t="s">
        <v>28</v>
      </c>
      <c r="C20" s="8" t="s">
        <v>11</v>
      </c>
      <c r="D20" s="8">
        <f>COUNTIFS([1]DATABASE!$G:$G,"AKTIF",[1]DATABASE!$AW:$AW,"PNS",[1]DATABASE!$AE:$AE,"S2 + SUB",[1]DATABASE!$AG:$AG,"Sub Spesialis Penyakit Dalam-Gastroenterohepatologi")</f>
        <v>0</v>
      </c>
      <c r="E20" s="8">
        <f>COUNTIFS([1]DATABASE!$G:$G,"AKTIF",[1]DATABASE!$AW:$AW,"APBD",[1]DATABASE!$AE:$AE,"S2 + SUB",[1]DATABASE!$AG:$AG,"Sub Spesialis Penyakit Dalam-Gastroenterohepatologi")</f>
        <v>1</v>
      </c>
      <c r="F20" s="8">
        <f>COUNTIFS([1]DATABASE!$G:$G,"AKTIF",[1]DATABASE!$AW:$AW,"BLUD",[1]DATABASE!$AE:$AE,"S2 + SUB",[1]DATABASE!$AG:$AG,"Sub Spesialis Penyakit Dalam-Gastroenterohepatologi")</f>
        <v>1</v>
      </c>
      <c r="G20" s="10">
        <f t="shared" si="3"/>
        <v>2</v>
      </c>
      <c r="H20" s="3"/>
      <c r="I20" s="8">
        <f>COUNTIFS([1]DATABASE!$G:$G,"AKTIF",[1]DATABASE!$N:$N,"Perempuan",[1]DATABASE!$AE:$AE,"S2 + SUB",[1]DATABASE!$AG:$AG,"Sub Spesialis Penyakit Dalam-Gastroenterohepatologi")</f>
        <v>0</v>
      </c>
      <c r="J20" s="8">
        <f>COUNTIFS([1]DATABASE!$G:$G,"AKTIF",[1]DATABASE!$N:$N,"Laki-Laki",[1]DATABASE!$AE:$AE,"S2 + SUB",[1]DATABASE!$AG:$AG,"Sub Spesialis Penyakit Dalam-Gastroenterohepatologi")</f>
        <v>2</v>
      </c>
      <c r="K20" s="8">
        <f t="shared" si="2"/>
        <v>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8">
        <v>19</v>
      </c>
      <c r="B21" s="9" t="s">
        <v>29</v>
      </c>
      <c r="C21" s="8" t="s">
        <v>11</v>
      </c>
      <c r="D21" s="8">
        <f>COUNTIFS([1]DATABASE!$G:$G,"AKTIF",[1]DATABASE!$AW:$AW,"PNS",[1]DATABASE!$AE:$AE,"S2 + SUB",[1]DATABASE!$AG:$AG,"Sub Spesialis Penyakit Dalam-Ginjal Hipertensi")</f>
        <v>0</v>
      </c>
      <c r="E21" s="8">
        <f>COUNTIFS([1]DATABASE!$G:$G,"AKTIF",[1]DATABASE!$AW:$AW,"APBD",[1]DATABASE!$AE:$AE,"S2 + SUB",[1]DATABASE!$AG:$AG,"Sub Spesialis Penyakit Dalam-Ginjal Hipertensi")</f>
        <v>0</v>
      </c>
      <c r="F21" s="8">
        <f>COUNTIFS([1]DATABASE!$G:$G,"AKTIF",[1]DATABASE!$AW:$AW,"BLUD",[1]DATABASE!$AE:$AE,"S2 + SUB",[1]DATABASE!$AG:$AG,"Sub Spesialis Penyakit Dalam-Ginjal Hipertensi")</f>
        <v>0</v>
      </c>
      <c r="G21" s="10">
        <f t="shared" si="3"/>
        <v>0</v>
      </c>
      <c r="H21" s="3"/>
      <c r="I21" s="8">
        <f>COUNTIFS([1]DATABASE!$G:$G,"AKTIF",[1]DATABASE!$N:$N,"Perempuan",[1]DATABASE!$AE:$AE,"S2 + SUB",[1]DATABASE!$AG:$AG,"Sub Spesialis Penyakit Dalam-Ginjal Hipertensi")</f>
        <v>0</v>
      </c>
      <c r="J21" s="8">
        <f>COUNTIFS([1]DATABASE!$G:$G,"AKTIF",[1]DATABASE!$N:$N,"Laki-Laki",[1]DATABASE!$AE:$AE,"S2 + SUB",[1]DATABASE!$AG:$AG,"Sub Spesialis Penyakit Dalam-Ginjal Hipertensi")</f>
        <v>0</v>
      </c>
      <c r="K21" s="8">
        <f t="shared" si="2"/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8">
        <v>20</v>
      </c>
      <c r="B22" s="9" t="s">
        <v>30</v>
      </c>
      <c r="C22" s="8" t="s">
        <v>11</v>
      </c>
      <c r="D22" s="8">
        <f>COUNTIFS([1]DATABASE!$G:$G,"AKTIF",[1]DATABASE!$AW:$AW,"PNS",[1]DATABASE!$AE:$AE,"S2 + SUB",[1]DATABASE!$AG:$AG,"Sub Spesialis Penyakit Dalam-Hematologi-Onkologi Medik")</f>
        <v>0</v>
      </c>
      <c r="E22" s="8">
        <f>COUNTIFS([1]DATABASE!$G:$G,"AKTIF",[1]DATABASE!$AW:$AW,"APBD",[1]DATABASE!$AE:$AE,"S2 + SUB",[1]DATABASE!$AG:$AG,"Sub Spesialis Penyakit Dalam-Hematologi-Onkologi Medik")</f>
        <v>0</v>
      </c>
      <c r="F22" s="8">
        <f>COUNTIFS([1]DATABASE!$G:$G,"AKTIF",[1]DATABASE!$AW:$AW,"BLUD",[1]DATABASE!$AE:$AE,"S2 + SUB",[1]DATABASE!$AG:$AG,"Sub Spesialis Penyakit Dalam-Hematologi-Onkologi Medik")</f>
        <v>0</v>
      </c>
      <c r="G22" s="10">
        <f t="shared" si="3"/>
        <v>0</v>
      </c>
      <c r="H22" s="3"/>
      <c r="I22" s="8">
        <f>COUNTIFS([1]DATABASE!$G:$G,"AKTIF",[1]DATABASE!$N:$N,"Perempuan",[1]DATABASE!$AE:$AE,"S2 + SUB",[1]DATABASE!$AG:$AG,"Sub Spesialis Penyakit Dalam-Hematologi-Onkologi Medik")</f>
        <v>0</v>
      </c>
      <c r="J22" s="8">
        <f>COUNTIFS([1]DATABASE!$G:$G,"AKTIF",[1]DATABASE!$N:$N,"Laki-Laki",[1]DATABASE!$AE:$AE,"S2 + SUB",[1]DATABASE!$AG:$AG,"Sub Spesialis Penyakit Dalam-Hematologi-Onkologi Medik")</f>
        <v>0</v>
      </c>
      <c r="K22" s="8">
        <f t="shared" si="2"/>
        <v>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8">
        <v>21</v>
      </c>
      <c r="B23" s="9" t="s">
        <v>31</v>
      </c>
      <c r="C23" s="8" t="s">
        <v>11</v>
      </c>
      <c r="D23" s="8">
        <f>COUNTIFS([1]DATABASE!$G:$G,"AKTIF",[1]DATABASE!$AW:$AW,"PNS",[1]DATABASE!$AE:$AE,"S2 + SUB",[1]DATABASE!$AG:$AG,"Sub Spesialis Penyakit Dalam-Kardiovaskular")</f>
        <v>1</v>
      </c>
      <c r="E23" s="8">
        <f>COUNTIFS([1]DATABASE!$G:$G,"AKTIF",[1]DATABASE!$AW:$AW,"APBD",[1]DATABASE!$AE:$AE,"S2 + SUB",[1]DATABASE!$AG:$AG,"Sub Spesialis Penyakit Dalam-Kardiovaskular")</f>
        <v>0</v>
      </c>
      <c r="F23" s="8">
        <f>COUNTIFS([1]DATABASE!$G:$G,"AKTIF",[1]DATABASE!$AW:$AW,"BLUD",[1]DATABASE!$AE:$AE,"S2 + SUB",[1]DATABASE!$AG:$AG,"Sub Spesialis Penyakit Dalam-Kardiovaskular")</f>
        <v>0</v>
      </c>
      <c r="G23" s="10">
        <f t="shared" si="3"/>
        <v>1</v>
      </c>
      <c r="H23" s="3"/>
      <c r="I23" s="8">
        <f>COUNTIFS([1]DATABASE!$G:$G,"AKTIF",[1]DATABASE!$N:$N,"Perempuan",[1]DATABASE!$AE:$AE,"S2 + SUB",[1]DATABASE!$AG:$AG,"Sub Spesialis Penyakit Dalam-Kardiovaskular")</f>
        <v>0</v>
      </c>
      <c r="J23" s="8">
        <f>COUNTIFS([1]DATABASE!$G:$G,"AKTIF",[1]DATABASE!$N:$N,"Laki-Laki",[1]DATABASE!$AE:$AE,"S2 + SUB",[1]DATABASE!$AG:$AG,"Sub Spesialis Penyakit Dalam-Kardiovaskular")</f>
        <v>1</v>
      </c>
      <c r="K23" s="8">
        <f t="shared" si="2"/>
        <v>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8">
        <v>22</v>
      </c>
      <c r="B24" s="9" t="s">
        <v>32</v>
      </c>
      <c r="C24" s="8" t="s">
        <v>11</v>
      </c>
      <c r="D24" s="8">
        <f>COUNTIFS([1]DATABASE!$G:$G,"AKTIF",[1]DATABASE!$AW:$AW,"PNS",[1]DATABASE!$AE:$AE,"S2 + SUB",[1]DATABASE!$AG:$AG,"Sub Spesialis Radiologi-Neuroradiologi Dan Kepala Leher")</f>
        <v>0</v>
      </c>
      <c r="E24" s="8">
        <f>COUNTIFS([1]DATABASE!$G:$G,"AKTIF",[1]DATABASE!$AW:$AW,"APBD",[1]DATABASE!$AE:$AE,"S2 + SUB",[1]DATABASE!$AG:$AG,"Sub Spesialis Radiologi-Neuroradiologi Dan Kepala Leher")</f>
        <v>0</v>
      </c>
      <c r="F24" s="8">
        <f>COUNTIFS([1]DATABASE!$G:$G,"AKTIF",[1]DATABASE!$AW:$AW,"BLUD",[1]DATABASE!$AE:$AE,"S2 + SUB",[1]DATABASE!$AG:$AG,"Sub Spesialis Radiologi-Neuroradiologi Dan Kepala Leher")</f>
        <v>0</v>
      </c>
      <c r="G24" s="10">
        <f t="shared" si="3"/>
        <v>0</v>
      </c>
      <c r="H24" s="3"/>
      <c r="I24" s="8">
        <f>COUNTIFS([1]DATABASE!$G:$G,"AKTIF",[1]DATABASE!$N:$N,"Perempuan",[1]DATABASE!$AE:$AE,"S2 + SUB",[1]DATABASE!$AG:$AG,"Sub Spesialis Radiologi-Neuroradiologi Dan Kepala Leher")</f>
        <v>0</v>
      </c>
      <c r="J24" s="8">
        <f>COUNTIFS([1]DATABASE!$G:$G,"AKTIF",[1]DATABASE!$N:$N,"Laki-Laki",[1]DATABASE!$AE:$AE,"S2 + SUB",[1]DATABASE!$AG:$AG,"Sub Spesialis Radiologi-Neuroradiologi Dan Kepala Leher")</f>
        <v>0</v>
      </c>
      <c r="K24" s="8">
        <f t="shared" si="2"/>
        <v>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8">
        <v>23</v>
      </c>
      <c r="B25" s="9" t="s">
        <v>33</v>
      </c>
      <c r="C25" s="8" t="s">
        <v>11</v>
      </c>
      <c r="D25" s="8">
        <f>COUNTIFS([1]DATABASE!$G:$G,"AKTIF",[1]DATABASE!$AW:$AW,"PNS",[1]DATABASE!$AE:$AE,"S2 + SUB",[1]DATABASE!$AG:$AG,"Sub Spesialis Radiologi-Radiologi Intervensional")</f>
        <v>0</v>
      </c>
      <c r="E25" s="8">
        <f>COUNTIFS([1]DATABASE!$G:$G,"AKTIF",[1]DATABASE!$AW:$AW,"APBD",[1]DATABASE!$AE:$AE,"S2 + SUB",[1]DATABASE!$AG:$AG,"Sub Spesialis Radiologi-Radiologi Intervensional")</f>
        <v>0</v>
      </c>
      <c r="F25" s="8">
        <f>COUNTIFS([1]DATABASE!$G:$G,"AKTIF",[1]DATABASE!$AW:$AW,"BLUD",[1]DATABASE!$AE:$AE,"S2 + SUB",[1]DATABASE!$AG:$AG,"Sub Spesialis Radiologi-Radiologi Intervensional")</f>
        <v>0</v>
      </c>
      <c r="G25" s="10">
        <f t="shared" si="3"/>
        <v>0</v>
      </c>
      <c r="H25" s="3"/>
      <c r="I25" s="8">
        <f>COUNTIFS([1]DATABASE!$G:$G,"AKTIF",[1]DATABASE!$N:$N,"Perempuan",[1]DATABASE!$AE:$AE,"S2 + SUB",[1]DATABASE!$AG:$AG,"Sub Spesialis Radiologi-Radiologi Intervensional")</f>
        <v>0</v>
      </c>
      <c r="J25" s="8">
        <f>COUNTIFS([1]DATABASE!$G:$G,"AKTIF",[1]DATABASE!$N:$N,"Laki-Laki",[1]DATABASE!$AE:$AE,"S2 + SUB",[1]DATABASE!$AG:$AG,"Sub Spesialis Radiologi-Radiologi Intervensional")</f>
        <v>0</v>
      </c>
      <c r="K25" s="8">
        <f t="shared" si="2"/>
        <v>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8">
        <v>24</v>
      </c>
      <c r="B26" s="9" t="s">
        <v>34</v>
      </c>
      <c r="C26" s="8" t="s">
        <v>11</v>
      </c>
      <c r="D26" s="8">
        <f>COUNTIFS([1]DATABASE!$G:$G,"AKTIF",[1]DATABASE!$AW:$AW,"PNS",[1]DATABASE!$AE:$AE,"S2 + SUB",[1]DATABASE!$AG:$AG,"Sub Spesialis Telinga Hidung Tenggorok - Rhinologi")</f>
        <v>0</v>
      </c>
      <c r="E26" s="8">
        <f>COUNTIFS([1]DATABASE!$G:$G,"AKTIF",[1]DATABASE!$AW:$AW,"APBD",[1]DATABASE!$AE:$AE,"S2 + SUB",[1]DATABASE!$AG:$AG,"Sub Spesialis Telinga Hidung Tenggorok - Rhinologi")</f>
        <v>1</v>
      </c>
      <c r="F26" s="8">
        <f>COUNTIFS([1]DATABASE!$G:$G,"AKTIF",[1]DATABASE!$AW:$AW,"BLUD",[1]DATABASE!$AE:$AE,"S2 + SUB",[1]DATABASE!$AG:$AG,"Sub Spesialis Telinga Hidung Tenggorok - Rhinologi")</f>
        <v>0</v>
      </c>
      <c r="G26" s="10">
        <f t="shared" si="3"/>
        <v>1</v>
      </c>
      <c r="H26" s="3"/>
      <c r="I26" s="8">
        <f>COUNTIFS([1]DATABASE!$G:$G,"AKTIF",[1]DATABASE!$N:$N,"Perempuan",[1]DATABASE!$AE:$AE,"S2 + SUB",[1]DATABASE!$AG:$AG,"Sub Spesialis Telinga Hidung Tenggorok - Rhinologi")</f>
        <v>1</v>
      </c>
      <c r="J26" s="8">
        <f>COUNTIFS([1]DATABASE!$G:$G,"AKTIF",[1]DATABASE!$N:$N,"Laki-Laki",[1]DATABASE!$AE:$AE,"S2 + SUB",[1]DATABASE!$AG:$AG,"Sub Spesialis Telinga Hidung Tenggorok - Rhinologi")</f>
        <v>0</v>
      </c>
      <c r="K26" s="8">
        <f t="shared" si="2"/>
        <v>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5" t="s">
        <v>35</v>
      </c>
      <c r="B27" s="6"/>
      <c r="C27" s="6"/>
      <c r="D27" s="7">
        <f t="shared" ref="D27:G27" si="4">SUM(D28:D57)</f>
        <v>44</v>
      </c>
      <c r="E27" s="7">
        <f t="shared" si="4"/>
        <v>17</v>
      </c>
      <c r="F27" s="7">
        <f t="shared" si="4"/>
        <v>2</v>
      </c>
      <c r="G27" s="7">
        <f t="shared" si="4"/>
        <v>63</v>
      </c>
      <c r="H27" s="3"/>
      <c r="I27" s="7">
        <f t="shared" ref="I27:J27" si="5">SUM(I28:I57)</f>
        <v>31</v>
      </c>
      <c r="J27" s="7">
        <f t="shared" si="5"/>
        <v>32</v>
      </c>
      <c r="K27" s="7">
        <f t="shared" si="2"/>
        <v>63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8">
        <v>25</v>
      </c>
      <c r="B28" s="9" t="s">
        <v>36</v>
      </c>
      <c r="C28" s="8" t="s">
        <v>37</v>
      </c>
      <c r="D28" s="8">
        <f>COUNTIFS([1]DATABASE!$G:$G,"AKTIF",[1]DATABASE!$AW:$AW,"PNS",[1]DATABASE!$AE:$AE,"S2 + Profesi",[1]DATABASE!$AG:$AG,"Spesialis Anak")</f>
        <v>4</v>
      </c>
      <c r="E28" s="8">
        <f>COUNTIFS([1]DATABASE!$G:$G,"AKTIF",[1]DATABASE!$AW:$AW,"APBD",[1]DATABASE!$AE:$AE,"S2 + Profesi",[1]DATABASE!$AG:$AG,"Spesialis Anak")</f>
        <v>1</v>
      </c>
      <c r="F28" s="8">
        <f>COUNTIFS([1]DATABASE!$G:$G,"AKTIF",[1]DATABASE!$AW:$AW,"BLUD",[1]DATABASE!$AE:$AE,"S2 + Profesi",[1]DATABASE!$AG:$AG,"Spesialis Anak")</f>
        <v>0</v>
      </c>
      <c r="G28" s="10">
        <f t="shared" ref="G28:G57" si="6">SUM(D28:F28)</f>
        <v>5</v>
      </c>
      <c r="H28" s="3"/>
      <c r="I28" s="8">
        <f>COUNTIFS([1]DATABASE!$G:$G,"AKTIF",[1]DATABASE!$N:$N,"Perempuan",[1]DATABASE!$AE:$AE,"S2 + Profesi",[1]DATABASE!$AG:$AG,"Spesialis Anak")</f>
        <v>5</v>
      </c>
      <c r="J28" s="8">
        <f>COUNTIFS([1]DATABASE!$G:$G,"AKTIF",[1]DATABASE!$N:$N,"Laki-Laki",[1]DATABASE!$AE:$AE,"S2 + Profesi",[1]DATABASE!$AG:$AG,"Spesialis Anak")</f>
        <v>0</v>
      </c>
      <c r="K28" s="8">
        <f t="shared" si="2"/>
        <v>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8">
        <v>26</v>
      </c>
      <c r="B29" s="9" t="s">
        <v>38</v>
      </c>
      <c r="C29" s="8" t="s">
        <v>37</v>
      </c>
      <c r="D29" s="8">
        <f>COUNTIFS([1]DATABASE!$G:$G,"AKTIF",[1]DATABASE!$AW:$AW,"PNS",[1]DATABASE!$AE:$AE,"S2 + Profesi",[1]DATABASE!$AG:$AG,"Spesialis Anastesiologi Dan Terapi Intensif")</f>
        <v>2</v>
      </c>
      <c r="E29" s="8">
        <f>COUNTIFS([1]DATABASE!$G:$G,"AKTIF",[1]DATABASE!$AW:$AW,"APBD",[1]DATABASE!$AE:$AE,"S2 + Profesi",[1]DATABASE!$AG:$AG,"Spesialis Anastesiologi Dan Terapi Intensif")</f>
        <v>1</v>
      </c>
      <c r="F29" s="8">
        <f>COUNTIFS([1]DATABASE!$G:$G,"AKTIF",[1]DATABASE!$AW:$AW,"BLUD",[1]DATABASE!$AE:$AE,"S2 + Profesi",[1]DATABASE!$AG:$AG,"Spesialis Anastesiologi Dan Terapi Intensif")</f>
        <v>0</v>
      </c>
      <c r="G29" s="10">
        <f t="shared" si="6"/>
        <v>3</v>
      </c>
      <c r="H29" s="3"/>
      <c r="I29" s="8">
        <f>COUNTIFS([1]DATABASE!$G:$G,"AKTIF",[1]DATABASE!$N:$N,"Perempuan",[1]DATABASE!$AE:$AE,"S2 + Profesi",[1]DATABASE!$AG:$AG,"Spesialis Anastesiologi Dan Terapi Intensif")</f>
        <v>1</v>
      </c>
      <c r="J29" s="8">
        <f>COUNTIFS([1]DATABASE!$G:$G,"AKTIF",[1]DATABASE!$N:$N,"Laki-Laki",[1]DATABASE!$AE:$AE,"S2 + Profesi",[1]DATABASE!$AG:$AG,"Spesialis Anastesiologi Dan Terapi Intensif")</f>
        <v>2</v>
      </c>
      <c r="K29" s="8">
        <f t="shared" si="2"/>
        <v>3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8">
        <v>27</v>
      </c>
      <c r="B30" s="9" t="s">
        <v>39</v>
      </c>
      <c r="C30" s="8" t="s">
        <v>37</v>
      </c>
      <c r="D30" s="8">
        <f>COUNTIFS([1]DATABASE!$G:$G,"AKTIF",[1]DATABASE!$AW:$AW,"PNS",[1]DATABASE!$AE:$AE,"S2 + Profesi",[1]DATABASE!$AG:$AG,"Spesialis Bedah")</f>
        <v>2</v>
      </c>
      <c r="E30" s="8">
        <f>COUNTIFS([1]DATABASE!$G:$G,"AKTIF",[1]DATABASE!$AW:$AW,"APBD",[1]DATABASE!$AE:$AE,"S2 + Profesi",[1]DATABASE!$AG:$AG,"Spesialis Bedah")</f>
        <v>1</v>
      </c>
      <c r="F30" s="8">
        <f>COUNTIFS([1]DATABASE!$G:$G,"AKTIF",[1]DATABASE!$AW:$AW,"BLUD",[1]DATABASE!$AE:$AE,"S2 + Profesi",[1]DATABASE!$AG:$AG,"Spesialis Bedah")</f>
        <v>0</v>
      </c>
      <c r="G30" s="10">
        <f t="shared" si="6"/>
        <v>3</v>
      </c>
      <c r="H30" s="3"/>
      <c r="I30" s="8">
        <f>COUNTIFS([1]DATABASE!$G:$G,"AKTIF",[1]DATABASE!$N:$N,"Perempuan",[1]DATABASE!$AE:$AE,"S2 + Profesi",[1]DATABASE!$AG:$AG,"Spesialis Bedah")</f>
        <v>0</v>
      </c>
      <c r="J30" s="8">
        <f>COUNTIFS([1]DATABASE!$G:$G,"AKTIF",[1]DATABASE!$N:$N,"Laki-Laki",[1]DATABASE!$AE:$AE,"S2 + Profesi",[1]DATABASE!$AG:$AG,"Spesialis Bedah")</f>
        <v>3</v>
      </c>
      <c r="K30" s="8">
        <f t="shared" si="2"/>
        <v>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8">
        <v>28</v>
      </c>
      <c r="B31" s="9" t="s">
        <v>40</v>
      </c>
      <c r="C31" s="8" t="s">
        <v>37</v>
      </c>
      <c r="D31" s="8">
        <f>COUNTIFS([1]DATABASE!$G:$G,"AKTIF",[1]DATABASE!$AW:$AW,"PNS",[1]DATABASE!$AE:$AE,"S2 + Profesi",[1]DATABASE!$AG:$AG,"Spesialis Bedah Mulut Dan Maksilofasial")</f>
        <v>0</v>
      </c>
      <c r="E31" s="8">
        <f>COUNTIFS([1]DATABASE!$G:$G,"AKTIF",[1]DATABASE!$AW:$AW,"APBD",[1]DATABASE!$AE:$AE,"S2 + Profesi",[1]DATABASE!$AG:$AG,"Spesialis Bedah Mulut Dan Maksilofasial")</f>
        <v>1</v>
      </c>
      <c r="F31" s="8">
        <f>COUNTIFS([1]DATABASE!$G:$G,"AKTIF",[1]DATABASE!$AW:$AW,"BLUD",[1]DATABASE!$AE:$AE,"S2 + Profesi",[1]DATABASE!$AG:$AG,"Spesialis Bedah Mulut Dan Maksilofasial")</f>
        <v>0</v>
      </c>
      <c r="G31" s="10">
        <f t="shared" si="6"/>
        <v>1</v>
      </c>
      <c r="H31" s="3"/>
      <c r="I31" s="8">
        <f>COUNTIFS([1]DATABASE!$G:$G,"AKTIF",[1]DATABASE!$N:$N,"Perempuan",[1]DATABASE!$AE:$AE,"S2 + Profesi",[1]DATABASE!$AG:$AG,"Spesialis Bedah Mulut Dan Maksilofasial")</f>
        <v>0</v>
      </c>
      <c r="J31" s="8">
        <f>COUNTIFS([1]DATABASE!$G:$G,"AKTIF",[1]DATABASE!$N:$N,"Laki-Laki",[1]DATABASE!$AE:$AE,"S2 + Profesi",[1]DATABASE!$AG:$AG,"Spesialis Bedah Mulut Dan Maksilofasial")</f>
        <v>1</v>
      </c>
      <c r="K31" s="8">
        <f t="shared" si="2"/>
        <v>1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8">
        <v>29</v>
      </c>
      <c r="B32" s="9" t="s">
        <v>41</v>
      </c>
      <c r="C32" s="8" t="s">
        <v>37</v>
      </c>
      <c r="D32" s="8">
        <f>COUNTIFS([1]DATABASE!$G:$G,"AKTIF",[1]DATABASE!$AW:$AW,"PNS",[1]DATABASE!$AE:$AE,"S2 + Profesi",[1]DATABASE!$AG:$AG,"Spesialis Bedah Plastik Rekonstruksi Dan Estetis")</f>
        <v>0</v>
      </c>
      <c r="E32" s="8">
        <f>COUNTIFS([1]DATABASE!$G:$G,"AKTIF",[1]DATABASE!$AW:$AW,"APBD",[1]DATABASE!$AE:$AE,"S2 + Profesi",[1]DATABASE!$AG:$AG,"Spesialis Bedah Plastik Rekonstruksi Dan Estetis")</f>
        <v>1</v>
      </c>
      <c r="F32" s="8">
        <f>COUNTIFS([1]DATABASE!$G:$G,"AKTIF",[1]DATABASE!$AW:$AW,"BLUD",[1]DATABASE!$AE:$AE,"S2 + Profesi",[1]DATABASE!$AG:$AG,"Spesialis Bedah Plastik Rekonstruksi Dan Estetis")</f>
        <v>0</v>
      </c>
      <c r="G32" s="10">
        <f t="shared" si="6"/>
        <v>1</v>
      </c>
      <c r="H32" s="3"/>
      <c r="I32" s="8">
        <f>COUNTIFS([1]DATABASE!$G:$G,"AKTIF",[1]DATABASE!$N:$N,"Perempuan",[1]DATABASE!$AE:$AE,"S2 + Profesi",[1]DATABASE!$AG:$AG,"Spesialis Bedah Plastik Rekonstruksi Dan Estetis")</f>
        <v>0</v>
      </c>
      <c r="J32" s="8">
        <f>COUNTIFS([1]DATABASE!$G:$G,"AKTIF",[1]DATABASE!$N:$N,"Laki-Laki",[1]DATABASE!$AE:$AE,"S2 + Profesi",[1]DATABASE!$AG:$AG,"Spesialis Bedah Plastik Rekonstruksi Dan Estetis")</f>
        <v>1</v>
      </c>
      <c r="K32" s="8">
        <f t="shared" si="2"/>
        <v>1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8">
        <v>30</v>
      </c>
      <c r="B33" s="9" t="s">
        <v>42</v>
      </c>
      <c r="C33" s="8" t="s">
        <v>37</v>
      </c>
      <c r="D33" s="8">
        <f>COUNTIFS([1]DATABASE!$G:$G,"AKTIF",[1]DATABASE!$AW:$AW,"PNS",[1]DATABASE!$AE:$AE,"S2 + Profesi",[1]DATABASE!$AG:$AG,"Spesialis Bedah Saraf")</f>
        <v>0</v>
      </c>
      <c r="E33" s="8">
        <f>COUNTIFS([1]DATABASE!$G:$G,"AKTIF",[1]DATABASE!$AW:$AW,"APBD",[1]DATABASE!$AE:$AE,"S2 + Profesi",[1]DATABASE!$AG:$AG,"Spesialis Bedah Saraf")</f>
        <v>1</v>
      </c>
      <c r="F33" s="8">
        <f>COUNTIFS([1]DATABASE!$G:$G,"AKTIF",[1]DATABASE!$AW:$AW,"BLUD",[1]DATABASE!$AE:$AE,"S2 + Profesi",[1]DATABASE!$AG:$AG,"Spesialis Bedah Saraf")</f>
        <v>0</v>
      </c>
      <c r="G33" s="10">
        <f t="shared" si="6"/>
        <v>1</v>
      </c>
      <c r="H33" s="3"/>
      <c r="I33" s="8">
        <f>COUNTIFS([1]DATABASE!$G:$G,"AKTIF",[1]DATABASE!$N:$N,"Perempuan",[1]DATABASE!$AE:$AE,"S2 + Profesi",[1]DATABASE!$AG:$AG,"Spesialis Bedah Saraf")</f>
        <v>0</v>
      </c>
      <c r="J33" s="8">
        <f>COUNTIFS([1]DATABASE!$G:$G,"AKTIF",[1]DATABASE!$N:$N,"Laki-Laki",[1]DATABASE!$AE:$AE,"S2 + Profesi",[1]DATABASE!$AG:$AG,"Spesialis Bedah Saraf")</f>
        <v>1</v>
      </c>
      <c r="K33" s="8">
        <f t="shared" si="2"/>
        <v>1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8">
        <v>31</v>
      </c>
      <c r="B34" s="9" t="s">
        <v>43</v>
      </c>
      <c r="C34" s="8" t="s">
        <v>37</v>
      </c>
      <c r="D34" s="8">
        <f>COUNTIFS([1]DATABASE!$G:$G,"AKTIF",[1]DATABASE!$AW:$AW,"PNS",[1]DATABASE!$AE:$AE,"S2 + Profesi",[1]DATABASE!$AG:$AG,"Spesialis Bedah Toraks Kardiovaskular")</f>
        <v>0</v>
      </c>
      <c r="E34" s="8">
        <f>COUNTIFS([1]DATABASE!$G:$G,"AKTIF",[1]DATABASE!$AW:$AW,"APBD",[1]DATABASE!$AE:$AE,"S2 + Profesi",[1]DATABASE!$AG:$AG,"Spesialis Bedah Toraks Kardiovaskular")</f>
        <v>0</v>
      </c>
      <c r="F34" s="8">
        <f>COUNTIFS([1]DATABASE!$G:$G,"AKTIF",[1]DATABASE!$AW:$AW,"BLUD",[1]DATABASE!$AE:$AE,"S2 + Profesi",[1]DATABASE!$AG:$AG,"Spesialis Bedah Toraks Kardiovaskular")</f>
        <v>0</v>
      </c>
      <c r="G34" s="10">
        <f t="shared" si="6"/>
        <v>0</v>
      </c>
      <c r="H34" s="3"/>
      <c r="I34" s="8">
        <f>COUNTIFS([1]DATABASE!$G:$G,"AKTIF",[1]DATABASE!$N:$N,"Perempuan",[1]DATABASE!$AE:$AE,"S2 + Profesi",[1]DATABASE!$AG:$AG,"Spesialis Bedah Toraks Kardiovaskular")</f>
        <v>0</v>
      </c>
      <c r="J34" s="8">
        <f>COUNTIFS([1]DATABASE!$G:$G,"AKTIF",[1]DATABASE!$N:$N,"Laki-Laki",[1]DATABASE!$AE:$AE,"S2 + Profesi",[1]DATABASE!$AG:$AG,"Spesialis Bedah Toraks Kardiovaskular")</f>
        <v>0</v>
      </c>
      <c r="K34" s="8">
        <f t="shared" si="2"/>
        <v>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8">
        <v>32</v>
      </c>
      <c r="B35" s="9" t="s">
        <v>44</v>
      </c>
      <c r="C35" s="8" t="s">
        <v>37</v>
      </c>
      <c r="D35" s="8">
        <f>COUNTIFS([1]DATABASE!$G:$G,"AKTIF",[1]DATABASE!$AW:$AW,"PNS",[1]DATABASE!$AE:$AE,"S2 + Profesi",[1]DATABASE!$AG:$AG,"Spesialis Bedah Urologi")</f>
        <v>0</v>
      </c>
      <c r="E35" s="8">
        <f>COUNTIFS([1]DATABASE!$G:$G,"AKTIF",[1]DATABASE!$AW:$AW,"APBD",[1]DATABASE!$AE:$AE,"S2 + Profesi",[1]DATABASE!$AG:$AG,"Spesialis Bedah Urologi")</f>
        <v>1</v>
      </c>
      <c r="F35" s="8">
        <f>COUNTIFS([1]DATABASE!$G:$G,"AKTIF",[1]DATABASE!$AW:$AW,"BLUD",[1]DATABASE!$AE:$AE,"S2 + Profesi",[1]DATABASE!$AG:$AG,"Spesialis Bedah Urologi")</f>
        <v>0</v>
      </c>
      <c r="G35" s="10">
        <f t="shared" si="6"/>
        <v>1</v>
      </c>
      <c r="H35" s="3"/>
      <c r="I35" s="8">
        <f>COUNTIFS([1]DATABASE!$G:$G,"AKTIF",[1]DATABASE!$N:$N,"Perempuan",[1]DATABASE!$AE:$AE,"S2 + Profesi",[1]DATABASE!$AG:$AG,"Spesialis Bedah Urologi")</f>
        <v>0</v>
      </c>
      <c r="J35" s="8">
        <f>COUNTIFS([1]DATABASE!$G:$G,"AKTIF",[1]DATABASE!$N:$N,"Laki-Laki",[1]DATABASE!$AE:$AE,"S2 + Profesi",[1]DATABASE!$AG:$AG,"Spesialis Bedah Urologi")</f>
        <v>1</v>
      </c>
      <c r="K35" s="8">
        <f t="shared" si="2"/>
        <v>1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8">
        <v>33</v>
      </c>
      <c r="B36" s="9" t="s">
        <v>45</v>
      </c>
      <c r="C36" s="8" t="s">
        <v>37</v>
      </c>
      <c r="D36" s="8">
        <f>COUNTIFS([1]DATABASE!$G:$G,"AKTIF",[1]DATABASE!$AW:$AW,"PNS",[1]DATABASE!$AE:$AE,"S2 + Profesi",[1]DATABASE!$AG:$AG,"Spesialis Dermatologi Dan Venereologi")</f>
        <v>2</v>
      </c>
      <c r="E36" s="8">
        <f>COUNTIFS([1]DATABASE!$G:$G,"AKTIF",[1]DATABASE!$AW:$AW,"APBD",[1]DATABASE!$AE:$AE,"S2 + Profesi",[1]DATABASE!$AG:$AG,"Spesialis Dermatologi Dan Venereologi")</f>
        <v>0</v>
      </c>
      <c r="F36" s="8">
        <f>COUNTIFS([1]DATABASE!$G:$G,"AKTIF",[1]DATABASE!$AW:$AW,"BLUD",[1]DATABASE!$AE:$AE,"S2 + Profesi",[1]DATABASE!$AG:$AG,"Spesialis Dermatologi Dan Venereologi")</f>
        <v>0</v>
      </c>
      <c r="G36" s="10">
        <f t="shared" si="6"/>
        <v>2</v>
      </c>
      <c r="H36" s="3"/>
      <c r="I36" s="8">
        <f>COUNTIFS([1]DATABASE!$G:$G,"AKTIF",[1]DATABASE!$N:$N,"Perempuan",[1]DATABASE!$AE:$AE,"S2 + Profesi",[1]DATABASE!$AG:$AG,"Spesialis Dermatologi Dan Venereologi")</f>
        <v>2</v>
      </c>
      <c r="J36" s="8">
        <f>COUNTIFS([1]DATABASE!$G:$G,"AKTIF",[1]DATABASE!$N:$N,"Laki-Laki",[1]DATABASE!$AE:$AE,"S2 + Profesi",[1]DATABASE!$AG:$AG,"Spesialis Dermatologi Dan Venereologi")</f>
        <v>0</v>
      </c>
      <c r="K36" s="8">
        <f t="shared" si="2"/>
        <v>2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8">
        <v>34</v>
      </c>
      <c r="B37" s="9" t="s">
        <v>46</v>
      </c>
      <c r="C37" s="8" t="s">
        <v>37</v>
      </c>
      <c r="D37" s="8">
        <f>COUNTIFS([1]DATABASE!$G:$G,"AKTIF",[1]DATABASE!$AW:$AW,"PNS",[1]DATABASE!$AE:$AE,"S2 + Profesi",[1]DATABASE!$AG:$AG,"Spesialis Farmakologi Klinik")</f>
        <v>0</v>
      </c>
      <c r="E37" s="8">
        <f>COUNTIFS([1]DATABASE!$G:$G,"AKTIF",[1]DATABASE!$AW:$AW,"APBD",[1]DATABASE!$AE:$AE,"S2 + Profesi",[1]DATABASE!$AG:$AG,"Spesialis Farmakologi Klinik")</f>
        <v>1</v>
      </c>
      <c r="F37" s="8">
        <f>COUNTIFS([1]DATABASE!$G:$G,"AKTIF",[1]DATABASE!$AW:$AW,"BLUD",[1]DATABASE!$AE:$AE,"S2 + Profesi",[1]DATABASE!$AG:$AG,"Spesialis Farmakologi Klinik")</f>
        <v>0</v>
      </c>
      <c r="G37" s="10">
        <f t="shared" si="6"/>
        <v>1</v>
      </c>
      <c r="H37" s="3"/>
      <c r="I37" s="8">
        <f>COUNTIFS([1]DATABASE!$G:$G,"AKTIF",[1]DATABASE!$N:$N,"Perempuan",[1]DATABASE!$AE:$AE,"S2 + Profesi",[1]DATABASE!$AG:$AG,"Spesialis Farmakologi Klinik")</f>
        <v>1</v>
      </c>
      <c r="J37" s="8">
        <f>COUNTIFS([1]DATABASE!$G:$G,"AKTIF",[1]DATABASE!$N:$N,"Laki-Laki",[1]DATABASE!$AE:$AE,"S2 + Profesi",[1]DATABASE!$AG:$AG,"Spesialis Farmakologi Klinik")</f>
        <v>0</v>
      </c>
      <c r="K37" s="8">
        <f t="shared" si="2"/>
        <v>1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8">
        <v>35</v>
      </c>
      <c r="B38" s="9" t="s">
        <v>47</v>
      </c>
      <c r="C38" s="8" t="s">
        <v>37</v>
      </c>
      <c r="D38" s="8">
        <f>COUNTIFS([1]DATABASE!$G:$G,"AKTIF",[1]DATABASE!$AW:$AW,"PNS",[1]DATABASE!$AE:$AE,"S2 + Profesi",[1]DATABASE!$AG:$AG,"Spesialis Gizi Klinik")</f>
        <v>0</v>
      </c>
      <c r="E38" s="8">
        <f>COUNTIFS([1]DATABASE!$G:$G,"AKTIF",[1]DATABASE!$AW:$AW,"APBD",[1]DATABASE!$AE:$AE,"S2 + Profesi",[1]DATABASE!$AG:$AG,"Spesialis Gizi Klinik")</f>
        <v>1</v>
      </c>
      <c r="F38" s="8">
        <f>COUNTIFS([1]DATABASE!$G:$G,"AKTIF",[1]DATABASE!$AW:$AW,"BLUD",[1]DATABASE!$AE:$AE,"S2 + Profesi",[1]DATABASE!$AG:$AG,"Spesialis Gizi Klinik")</f>
        <v>0</v>
      </c>
      <c r="G38" s="10">
        <f t="shared" si="6"/>
        <v>1</v>
      </c>
      <c r="H38" s="3"/>
      <c r="I38" s="8">
        <f>COUNTIFS([1]DATABASE!$G:$G,"AKTIF",[1]DATABASE!$N:$N,"Perempuan",[1]DATABASE!$AE:$AE,"S2 + Profesi",[1]DATABASE!$AG:$AG,"Spesialis Gizi Klinik")</f>
        <v>1</v>
      </c>
      <c r="J38" s="8">
        <f>COUNTIFS([1]DATABASE!$G:$G,"AKTIF",[1]DATABASE!$N:$N,"Laki-Laki",[1]DATABASE!$AE:$AE,"S2 + Profesi",[1]DATABASE!$AG:$AG,"Spesialis Gizi Klinik")</f>
        <v>0</v>
      </c>
      <c r="K38" s="8">
        <f t="shared" si="2"/>
        <v>1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8">
        <v>36</v>
      </c>
      <c r="B39" s="9" t="s">
        <v>48</v>
      </c>
      <c r="C39" s="8" t="s">
        <v>37</v>
      </c>
      <c r="D39" s="8">
        <f>COUNTIFS([1]DATABASE!$G:$G,"AKTIF",[1]DATABASE!$AW:$AW,"PNS",[1]DATABASE!$AE:$AE,"S2 + Profesi",[1]DATABASE!$AG:$AG,"Spesialis Jantung Dan Pembuluh Darah")</f>
        <v>2</v>
      </c>
      <c r="E39" s="8">
        <f>COUNTIFS([1]DATABASE!$G:$G,"AKTIF",[1]DATABASE!$AW:$AW,"APBD",[1]DATABASE!$AE:$AE,"S2 + Profesi",[1]DATABASE!$AG:$AG,"Spesialis Jantung Dan Pembuluh Darah")</f>
        <v>2</v>
      </c>
      <c r="F39" s="8">
        <f>COUNTIFS([1]DATABASE!$G:$G,"AKTIF",[1]DATABASE!$AW:$AW,"BLUD",[1]DATABASE!$AE:$AE,"S2 + Profesi",[1]DATABASE!$AG:$AG,"Spesialis Jantung Dan Pembuluh Darah")</f>
        <v>0</v>
      </c>
      <c r="G39" s="10">
        <f t="shared" si="6"/>
        <v>4</v>
      </c>
      <c r="H39" s="3"/>
      <c r="I39" s="8">
        <f>COUNTIFS([1]DATABASE!$G:$G,"AKTIF",[1]DATABASE!$N:$N,"Perempuan",[1]DATABASE!$AE:$AE,"S2 + Profesi",[1]DATABASE!$AG:$AG,"Spesialis Jantung Dan Pembuluh Darah")</f>
        <v>3</v>
      </c>
      <c r="J39" s="8">
        <f>COUNTIFS([1]DATABASE!$G:$G,"AKTIF",[1]DATABASE!$N:$N,"Laki-Laki",[1]DATABASE!$AE:$AE,"S2 + Profesi",[1]DATABASE!$AG:$AG,"Spesialis Jantung Dan Pembuluh Darah")</f>
        <v>1</v>
      </c>
      <c r="K39" s="8">
        <f t="shared" si="2"/>
        <v>4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8">
        <v>37</v>
      </c>
      <c r="B40" s="9" t="s">
        <v>49</v>
      </c>
      <c r="C40" s="8" t="s">
        <v>37</v>
      </c>
      <c r="D40" s="8">
        <f>COUNTIFS([1]DATABASE!$G:$G,"AKTIF",[1]DATABASE!$AW:$AW,"PNS",[1]DATABASE!$AE:$AE,"S2 + Profesi",[1]DATABASE!$AG:$AG,"Spesialis Kedokteran Fisik Dan Rehabilitasi")</f>
        <v>2</v>
      </c>
      <c r="E40" s="8">
        <f>COUNTIFS([1]DATABASE!$G:$G,"AKTIF",[1]DATABASE!$AW:$AW,"APBD",[1]DATABASE!$AE:$AE,"S2 + Profesi",[1]DATABASE!$AG:$AG,"Spesialis Kedokteran Fisik Dan Rehabilitasi")</f>
        <v>0</v>
      </c>
      <c r="F40" s="8">
        <f>COUNTIFS([1]DATABASE!$G:$G,"AKTIF",[1]DATABASE!$AW:$AW,"BLUD",[1]DATABASE!$AE:$AE,"S2 + Profesi",[1]DATABASE!$AG:$AG,"Spesialis Kedokteran Fisik Dan Rehabilitasi")</f>
        <v>0</v>
      </c>
      <c r="G40" s="10">
        <f t="shared" si="6"/>
        <v>2</v>
      </c>
      <c r="H40" s="3"/>
      <c r="I40" s="8">
        <f>COUNTIFS([1]DATABASE!$G:$G,"AKTIF",[1]DATABASE!$N:$N,"Perempuan",[1]DATABASE!$AE:$AE,"S2 + Profesi",[1]DATABASE!$AG:$AG,"Spesialis Kedokteran Fisik Dan Rehabilitasi")</f>
        <v>1</v>
      </c>
      <c r="J40" s="8">
        <f>COUNTIFS([1]DATABASE!$G:$G,"AKTIF",[1]DATABASE!$N:$N,"Laki-Laki",[1]DATABASE!$AE:$AE,"S2 + Profesi",[1]DATABASE!$AG:$AG,"Spesialis Kedokteran Fisik Dan Rehabilitasi")</f>
        <v>1</v>
      </c>
      <c r="K40" s="8">
        <f t="shared" si="2"/>
        <v>2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8">
        <v>38</v>
      </c>
      <c r="B41" s="9" t="s">
        <v>50</v>
      </c>
      <c r="C41" s="8" t="s">
        <v>37</v>
      </c>
      <c r="D41" s="8">
        <f>COUNTIFS([1]DATABASE!$G:$G,"AKTIF",[1]DATABASE!$AW:$AW,"PNS",[1]DATABASE!$AE:$AE,"S2 + Profesi",[1]DATABASE!$AG:$AG,"Spesialis Kedokteran Forensik &amp; Medikolegal")</f>
        <v>1</v>
      </c>
      <c r="E41" s="8">
        <f>COUNTIFS([1]DATABASE!$G:$G,"AKTIF",[1]DATABASE!$AW:$AW,"APBD",[1]DATABASE!$AE:$AE,"S2 + Profesi",[1]DATABASE!$AG:$AG,"Spesialis Kedokteran Forensik &amp; Medikolegal")</f>
        <v>0</v>
      </c>
      <c r="F41" s="8">
        <f>COUNTIFS([1]DATABASE!$G:$G,"AKTIF",[1]DATABASE!$AW:$AW,"BLUD",[1]DATABASE!$AE:$AE,"S2 + Profesi",[1]DATABASE!$AG:$AG,"Spesialis Kedokteran Forensik &amp; Medikolegal")</f>
        <v>0</v>
      </c>
      <c r="G41" s="10">
        <f t="shared" si="6"/>
        <v>1</v>
      </c>
      <c r="H41" s="3"/>
      <c r="I41" s="8">
        <f>COUNTIFS([1]DATABASE!$G:$G,"AKTIF",[1]DATABASE!$N:$N,"Perempuan",[1]DATABASE!$AE:$AE,"S2 + Profesi",[1]DATABASE!$AG:$AG,"Spesialis Kedokteran Forensik &amp; Medikolegal")</f>
        <v>0</v>
      </c>
      <c r="J41" s="8">
        <f>COUNTIFS([1]DATABASE!$G:$G,"AKTIF",[1]DATABASE!$N:$N,"Laki-Laki",[1]DATABASE!$AE:$AE,"S2 + Profesi",[1]DATABASE!$AG:$AG,"Spesialis Kedokteran Forensik &amp; Medikolegal")</f>
        <v>1</v>
      </c>
      <c r="K41" s="8">
        <f t="shared" si="2"/>
        <v>1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8">
        <v>39</v>
      </c>
      <c r="B42" s="9" t="s">
        <v>51</v>
      </c>
      <c r="C42" s="8" t="s">
        <v>37</v>
      </c>
      <c r="D42" s="8">
        <f>COUNTIFS([1]DATABASE!$G:$G,"AKTIF",[1]DATABASE!$AW:$AW,"PNS",[1]DATABASE!$AE:$AE,"S2 + Profesi",[1]DATABASE!$AG:$AG,"Spesialis Kedokteran Jiwa Atau Psikiatri")</f>
        <v>3</v>
      </c>
      <c r="E42" s="8">
        <f>COUNTIFS([1]DATABASE!$G:$G,"AKTIF",[1]DATABASE!$AW:$AW,"APBD",[1]DATABASE!$AE:$AE,"S2 + Profesi",[1]DATABASE!$AG:$AG,"Spesialis Kedokteran Jiwa Atau Psikiatri")</f>
        <v>0</v>
      </c>
      <c r="F42" s="8">
        <f>COUNTIFS([1]DATABASE!$G:$G,"AKTIF",[1]DATABASE!$AW:$AW,"BLUD",[1]DATABASE!$AE:$AE,"S2 + Profesi",[1]DATABASE!$AG:$AG,"Spesialis Kedokteran Jiwa Atau Psikiatri")</f>
        <v>0</v>
      </c>
      <c r="G42" s="10">
        <f t="shared" si="6"/>
        <v>3</v>
      </c>
      <c r="H42" s="3"/>
      <c r="I42" s="8">
        <f>COUNTIFS([1]DATABASE!$G:$G,"AKTIF",[1]DATABASE!$N:$N,"Perempuan",[1]DATABASE!$AE:$AE,"S2 + Profesi",[1]DATABASE!$AG:$AG,"Spesialis Kedokteran Jiwa Atau Psikiatri")</f>
        <v>2</v>
      </c>
      <c r="J42" s="8">
        <f>COUNTIFS([1]DATABASE!$G:$G,"AKTIF",[1]DATABASE!$N:$N,"Laki-Laki",[1]DATABASE!$AE:$AE,"S2 + Profesi",[1]DATABASE!$AG:$AG,"Spesialis Kedokteran Jiwa Atau Psikiatri")</f>
        <v>1</v>
      </c>
      <c r="K42" s="8">
        <f t="shared" si="2"/>
        <v>3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8">
        <v>40</v>
      </c>
      <c r="B43" s="9" t="s">
        <v>52</v>
      </c>
      <c r="C43" s="8" t="s">
        <v>37</v>
      </c>
      <c r="D43" s="8">
        <f>COUNTIFS([1]DATABASE!$G:$G,"AKTIF",[1]DATABASE!$AW:$AW,"PNS",[1]DATABASE!$AE:$AE,"S2 + Profesi",[1]DATABASE!$AG:$AG,"Spesialis Kedokteran Nuklir")</f>
        <v>0</v>
      </c>
      <c r="E43" s="8">
        <f>COUNTIFS([1]DATABASE!$G:$G,"AKTIF",[1]DATABASE!$AW:$AW,"APBD",[1]DATABASE!$AE:$AE,"S2 + Profesi",[1]DATABASE!$AG:$AG,"Spesialis Kedokteran Nuklir")</f>
        <v>0</v>
      </c>
      <c r="F43" s="8">
        <f>COUNTIFS([1]DATABASE!$G:$G,"AKTIF",[1]DATABASE!$AW:$AW,"BLUD",[1]DATABASE!$AE:$AE,"S2 + Profesi",[1]DATABASE!$AG:$AG,"Spesialis Kedokteran Nuklir")</f>
        <v>0</v>
      </c>
      <c r="G43" s="10">
        <f t="shared" si="6"/>
        <v>0</v>
      </c>
      <c r="H43" s="3"/>
      <c r="I43" s="8">
        <f>COUNTIFS([1]DATABASE!$G:$G,"AKTIF",[1]DATABASE!$N:$N,"Perempuan",[1]DATABASE!$AE:$AE,"S2 + Profesi",[1]DATABASE!$AG:$AG,"Spesialis Kedokteran Nuklir")</f>
        <v>0</v>
      </c>
      <c r="J43" s="8">
        <f>COUNTIFS([1]DATABASE!$G:$G,"AKTIF",[1]DATABASE!$N:$N,"Laki-Laki",[1]DATABASE!$AE:$AE,"S2 + Profesi",[1]DATABASE!$AG:$AG,"Spesialis Kedokteran Nuklir")</f>
        <v>0</v>
      </c>
      <c r="K43" s="8">
        <f t="shared" si="2"/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8">
        <v>41</v>
      </c>
      <c r="B44" s="9" t="s">
        <v>53</v>
      </c>
      <c r="C44" s="8" t="s">
        <v>37</v>
      </c>
      <c r="D44" s="8">
        <f>COUNTIFS([1]DATABASE!$G:$G,"AKTIF",[1]DATABASE!$AW:$AW,"PNS",[1]DATABASE!$AE:$AE,"S2 + Profesi",[1]DATABASE!$AG:$AG,"Spesialis Konservasi Gigi")</f>
        <v>1</v>
      </c>
      <c r="E44" s="8">
        <f>COUNTIFS([1]DATABASE!$G:$G,"AKTIF",[1]DATABASE!$AW:$AW,"APBD",[1]DATABASE!$AE:$AE,"S2 + Profesi",[1]DATABASE!$AG:$AG,"Spesialis Konservasi Gigi")</f>
        <v>0</v>
      </c>
      <c r="F44" s="8">
        <f>COUNTIFS([1]DATABASE!$G:$G,"AKTIF",[1]DATABASE!$AW:$AW,"BLUD",[1]DATABASE!$AE:$AE,"S2 + Profesi",[1]DATABASE!$AG:$AG,"Spesialis Konservasi Gigi")</f>
        <v>0</v>
      </c>
      <c r="G44" s="10">
        <f t="shared" si="6"/>
        <v>1</v>
      </c>
      <c r="H44" s="3"/>
      <c r="I44" s="8">
        <f>COUNTIFS([1]DATABASE!$G:$G,"AKTIF",[1]DATABASE!$N:$N,"Perempuan",[1]DATABASE!$AE:$AE,"S2 + Profesi",[1]DATABASE!$AG:$AG,"Spesialis Konservasi Gigi")</f>
        <v>1</v>
      </c>
      <c r="J44" s="8">
        <f>COUNTIFS([1]DATABASE!$G:$G,"AKTIF",[1]DATABASE!$N:$N,"Laki-Laki",[1]DATABASE!$AE:$AE,"S2 + Profesi",[1]DATABASE!$AG:$AG,"Spesialis Konservasi Gigi")</f>
        <v>0</v>
      </c>
      <c r="K44" s="8">
        <f t="shared" si="2"/>
        <v>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8">
        <v>42</v>
      </c>
      <c r="B45" s="9" t="s">
        <v>54</v>
      </c>
      <c r="C45" s="8" t="s">
        <v>37</v>
      </c>
      <c r="D45" s="8">
        <f>COUNTIFS([1]DATABASE!$G:$G,"AKTIF",[1]DATABASE!$AW:$AW,"PNS",[1]DATABASE!$AE:$AE,"S2 + Profesi",[1]DATABASE!$AG:$AG,"Spesialis Mata")</f>
        <v>2</v>
      </c>
      <c r="E45" s="8">
        <f>COUNTIFS([1]DATABASE!$G:$G,"AKTIF",[1]DATABASE!$AW:$AW,"APBD",[1]DATABASE!$AE:$AE,"S2 + Profesi",[1]DATABASE!$AG:$AG,"Spesialis Mata")</f>
        <v>0</v>
      </c>
      <c r="F45" s="8">
        <f>COUNTIFS([1]DATABASE!$G:$G,"AKTIF",[1]DATABASE!$AW:$AW,"BLUD",[1]DATABASE!$AE:$AE,"S2 + Profesi",[1]DATABASE!$AG:$AG,"Spesialis Mata")</f>
        <v>0</v>
      </c>
      <c r="G45" s="10">
        <f t="shared" si="6"/>
        <v>2</v>
      </c>
      <c r="H45" s="3"/>
      <c r="I45" s="8">
        <f>COUNTIFS([1]DATABASE!$G:$G,"AKTIF",[1]DATABASE!$N:$N,"Perempuan",[1]DATABASE!$AE:$AE,"S2 + Profesi",[1]DATABASE!$AG:$AG,"Spesialis Mata")</f>
        <v>2</v>
      </c>
      <c r="J45" s="8">
        <f>COUNTIFS([1]DATABASE!$G:$G,"AKTIF",[1]DATABASE!$N:$N,"Laki-Laki",[1]DATABASE!$AE:$AE,"S2 + Profesi",[1]DATABASE!$AG:$AG,"Spesialis Mata")</f>
        <v>0</v>
      </c>
      <c r="K45" s="8">
        <f t="shared" si="2"/>
        <v>2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8">
        <v>43</v>
      </c>
      <c r="B46" s="9" t="s">
        <v>55</v>
      </c>
      <c r="C46" s="8" t="s">
        <v>37</v>
      </c>
      <c r="D46" s="8">
        <f>COUNTIFS([1]DATABASE!$G:$G,"AKTIF",[1]DATABASE!$AW:$AW,"PNS",[1]DATABASE!$AE:$AE,"S2 + Profesi",[1]DATABASE!$AG:$AG,"Spesialis Mikrobiologi Klinik")</f>
        <v>0</v>
      </c>
      <c r="E46" s="8">
        <f>COUNTIFS([1]DATABASE!$G:$G,"AKTIF",[1]DATABASE!$AW:$AW,"APBD",[1]DATABASE!$AE:$AE,"S2 + Profesi",[1]DATABASE!$AG:$AG,"Spesialis Mikrobiologi Klinik")</f>
        <v>0</v>
      </c>
      <c r="F46" s="8">
        <f>COUNTIFS([1]DATABASE!$G:$G,"AKTIF",[1]DATABASE!$AW:$AW,"BLUD",[1]DATABASE!$AE:$AE,"S2 + Profesi",[1]DATABASE!$AG:$AG,"Spesialis Mikrobiologi Klinik")</f>
        <v>0</v>
      </c>
      <c r="G46" s="10">
        <f t="shared" si="6"/>
        <v>0</v>
      </c>
      <c r="H46" s="3"/>
      <c r="I46" s="8">
        <f>COUNTIFS([1]DATABASE!$G:$G,"AKTIF",[1]DATABASE!$N:$N,"Perempuan",[1]DATABASE!$AE:$AE,"S2 + Profesi",[1]DATABASE!$AG:$AG,"Spesialis Mikrobiologi Klinik")</f>
        <v>0</v>
      </c>
      <c r="J46" s="8">
        <f>COUNTIFS([1]DATABASE!$G:$G,"AKTIF",[1]DATABASE!$N:$N,"Laki-Laki",[1]DATABASE!$AE:$AE,"S2 + Profesi",[1]DATABASE!$AG:$AG,"Spesialis Mikrobiologi Klinik")</f>
        <v>0</v>
      </c>
      <c r="K46" s="8">
        <f t="shared" si="2"/>
        <v>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8">
        <v>44</v>
      </c>
      <c r="B47" s="9" t="s">
        <v>56</v>
      </c>
      <c r="C47" s="8" t="s">
        <v>37</v>
      </c>
      <c r="D47" s="8">
        <f>COUNTIFS([1]DATABASE!$G:$G,"AKTIF",[1]DATABASE!$AW:$AW,"PNS",[1]DATABASE!$AE:$AE,"S2 + Profesi",[1]DATABASE!$AG:$AG,"Spesialis Neurologi")</f>
        <v>3</v>
      </c>
      <c r="E47" s="8">
        <f>COUNTIFS([1]DATABASE!$G:$G,"AKTIF",[1]DATABASE!$AW:$AW,"APBD",[1]DATABASE!$AE:$AE,"S2 + Profesi",[1]DATABASE!$AG:$AG,"Spesialis Neurologi")</f>
        <v>0</v>
      </c>
      <c r="F47" s="8">
        <f>COUNTIFS([1]DATABASE!$G:$G,"AKTIF",[1]DATABASE!$AW:$AW,"BLUD",[1]DATABASE!$AE:$AE,"S2 + Profesi",[1]DATABASE!$AG:$AG,"Spesialis Neurologi")</f>
        <v>0</v>
      </c>
      <c r="G47" s="10">
        <f t="shared" si="6"/>
        <v>3</v>
      </c>
      <c r="H47" s="3"/>
      <c r="I47" s="8">
        <f>COUNTIFS([1]DATABASE!$G:$G,"AKTIF",[1]DATABASE!$N:$N,"Perempuan",[1]DATABASE!$AE:$AE,"S2 + Profesi",[1]DATABASE!$AG:$AG,"Spesialis Neurologi")</f>
        <v>1</v>
      </c>
      <c r="J47" s="8">
        <f>COUNTIFS([1]DATABASE!$G:$G,"AKTIF",[1]DATABASE!$N:$N,"Laki-Laki",[1]DATABASE!$AE:$AE,"S2 + Profesi",[1]DATABASE!$AG:$AG,"Spesialis Neurologi")</f>
        <v>2</v>
      </c>
      <c r="K47" s="8">
        <f t="shared" si="2"/>
        <v>3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8">
        <v>45</v>
      </c>
      <c r="B48" s="9" t="s">
        <v>57</v>
      </c>
      <c r="C48" s="8" t="s">
        <v>37</v>
      </c>
      <c r="D48" s="8">
        <f>COUNTIFS([1]DATABASE!$G:$G,"AKTIF",[1]DATABASE!$AW:$AW,"PNS",[1]DATABASE!$AE:$AE,"S2 + Profesi",[1]DATABASE!$AG:$AG,"Spesialis Obstetri Dan Ginekologi")</f>
        <v>3</v>
      </c>
      <c r="E48" s="8">
        <f>COUNTIFS([1]DATABASE!$G:$G,"AKTIF",[1]DATABASE!$AW:$AW,"APBD",[1]DATABASE!$AE:$AE,"S2 + Profesi",[1]DATABASE!$AG:$AG,"Spesialis Obstetri Dan Ginekologi")</f>
        <v>2</v>
      </c>
      <c r="F48" s="8">
        <f>COUNTIFS([1]DATABASE!$G:$G,"AKTIF",[1]DATABASE!$AW:$AW,"BLUD",[1]DATABASE!$AE:$AE,"S2 + Profesi",[1]DATABASE!$AG:$AG,"Spesialis Obstetri Dan Ginekologi")</f>
        <v>0</v>
      </c>
      <c r="G48" s="10">
        <f t="shared" si="6"/>
        <v>5</v>
      </c>
      <c r="H48" s="3"/>
      <c r="I48" s="8">
        <f>COUNTIFS([1]DATABASE!$G:$G,"AKTIF",[1]DATABASE!$N:$N,"Perempuan",[1]DATABASE!$AE:$AE,"S2 + Profesi",[1]DATABASE!$AG:$AG,"Spesialis Obstetri Dan Ginekologi")</f>
        <v>2</v>
      </c>
      <c r="J48" s="8">
        <f>COUNTIFS([1]DATABASE!$G:$G,"AKTIF",[1]DATABASE!$N:$N,"Laki-Laki",[1]DATABASE!$AE:$AE,"S2 + Profesi",[1]DATABASE!$AG:$AG,"Spesialis Obstetri Dan Ginekologi")</f>
        <v>3</v>
      </c>
      <c r="K48" s="8">
        <f t="shared" si="2"/>
        <v>5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8">
        <v>46</v>
      </c>
      <c r="B49" s="9" t="s">
        <v>58</v>
      </c>
      <c r="C49" s="8" t="s">
        <v>37</v>
      </c>
      <c r="D49" s="8">
        <f>COUNTIFS([1]DATABASE!$G:$G,"AKTIF",[1]DATABASE!$AW:$AW,"PNS",[1]DATABASE!$AE:$AE,"S2 + Profesi",[1]DATABASE!$AG:$AG,"Spesialis Orthopaedi Dan Traumatologi")</f>
        <v>1</v>
      </c>
      <c r="E49" s="8">
        <f>COUNTIFS([1]DATABASE!$G:$G,"AKTIF",[1]DATABASE!$AW:$AW,"APBD",[1]DATABASE!$AE:$AE,"S2 + Profesi",[1]DATABASE!$AG:$AG,"Spesialis Orthopaedi Dan Traumatologi")</f>
        <v>2</v>
      </c>
      <c r="F49" s="8">
        <f>COUNTIFS([1]DATABASE!$G:$G,"AKTIF",[1]DATABASE!$AW:$AW,"BLUD",[1]DATABASE!$AE:$AE,"S2 + Profesi",[1]DATABASE!$AG:$AG,"Spesialis Orthopaedi Dan Traumatologi")</f>
        <v>0</v>
      </c>
      <c r="G49" s="10">
        <f t="shared" si="6"/>
        <v>3</v>
      </c>
      <c r="H49" s="3"/>
      <c r="I49" s="8">
        <f>COUNTIFS([1]DATABASE!$G:$G,"AKTIF",[1]DATABASE!$N:$N,"Perempuan",[1]DATABASE!$AE:$AE,"S2 + Profesi",[1]DATABASE!$AG:$AG,"Spesialis Orthopaedi Dan Traumatologi")</f>
        <v>0</v>
      </c>
      <c r="J49" s="8">
        <f>COUNTIFS([1]DATABASE!$G:$G,"AKTIF",[1]DATABASE!$N:$N,"Laki-Laki",[1]DATABASE!$AE:$AE,"S2 + Profesi",[1]DATABASE!$AG:$AG,"Spesialis Orthopaedi Dan Traumatologi")</f>
        <v>3</v>
      </c>
      <c r="K49" s="8">
        <f t="shared" si="2"/>
        <v>3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8">
        <v>47</v>
      </c>
      <c r="B50" s="9" t="s">
        <v>59</v>
      </c>
      <c r="C50" s="8" t="s">
        <v>37</v>
      </c>
      <c r="D50" s="8">
        <f>COUNTIFS([1]DATABASE!$G:$G,"AKTIF",[1]DATABASE!$AW:$AW,"PNS",[1]DATABASE!$AE:$AE,"S2 + Profesi",[1]DATABASE!$AG:$AG,"Spesialis Ortodonsia")</f>
        <v>0</v>
      </c>
      <c r="E50" s="8">
        <f>COUNTIFS([1]DATABASE!$G:$G,"AKTIF",[1]DATABASE!$AW:$AW,"APBD",[1]DATABASE!$AE:$AE,"S2 + Profesi",[1]DATABASE!$AG:$AG,"Spesialis Ortodonsia")</f>
        <v>0</v>
      </c>
      <c r="F50" s="8">
        <f>COUNTIFS([1]DATABASE!$G:$G,"AKTIF",[1]DATABASE!$AW:$AW,"BLUD",[1]DATABASE!$AE:$AE,"S2 + Profesi",[1]DATABASE!$AG:$AG,"Spesialis Ortodonsia")</f>
        <v>0</v>
      </c>
      <c r="G50" s="10">
        <f t="shared" si="6"/>
        <v>0</v>
      </c>
      <c r="H50" s="3"/>
      <c r="I50" s="8">
        <f>COUNTIFS([1]DATABASE!$G:$G,"AKTIF",[1]DATABASE!$N:$N,"Perempuan",[1]DATABASE!$AE:$AE,"S2 + Profesi",[1]DATABASE!$AG:$AG,"Spesialis Ortodonsia")</f>
        <v>0</v>
      </c>
      <c r="J50" s="8">
        <f>COUNTIFS([1]DATABASE!$G:$G,"AKTIF",[1]DATABASE!$N:$N,"Laki-Laki",[1]DATABASE!$AE:$AE,"S2 + Profesi",[1]DATABASE!$AG:$AG,"Spesialis Ortodonsia")</f>
        <v>0</v>
      </c>
      <c r="K50" s="8">
        <f t="shared" si="2"/>
        <v>0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8">
        <v>48</v>
      </c>
      <c r="B51" s="9" t="s">
        <v>60</v>
      </c>
      <c r="C51" s="8" t="s">
        <v>37</v>
      </c>
      <c r="D51" s="8">
        <f>COUNTIFS([1]DATABASE!$G:$G,"AKTIF",[1]DATABASE!$AW:$AW,"PNS",[1]DATABASE!$AE:$AE,"S2 + Profesi",[1]DATABASE!$AG:$AG,"Spesialis Patologi Anatomi")</f>
        <v>2</v>
      </c>
      <c r="E51" s="8">
        <f>COUNTIFS([1]DATABASE!$G:$G,"AKTIF",[1]DATABASE!$AW:$AW,"APBD",[1]DATABASE!$AE:$AE,"S2 + Profesi",[1]DATABASE!$AG:$AG,"Spesialis Patologi Anatomi")</f>
        <v>0</v>
      </c>
      <c r="F51" s="8">
        <f>COUNTIFS([1]DATABASE!$G:$G,"AKTIF",[1]DATABASE!$AW:$AW,"BLUD",[1]DATABASE!$AE:$AE,"S2 + Profesi",[1]DATABASE!$AG:$AG,"Spesialis Patologi Anatomi")</f>
        <v>0</v>
      </c>
      <c r="G51" s="10">
        <f t="shared" si="6"/>
        <v>2</v>
      </c>
      <c r="H51" s="3"/>
      <c r="I51" s="8">
        <f>COUNTIFS([1]DATABASE!$G:$G,"AKTIF",[1]DATABASE!$N:$N,"Perempuan",[1]DATABASE!$AE:$AE,"S2 + Profesi",[1]DATABASE!$AG:$AG,"Spesialis Patologi Anatomi")</f>
        <v>1</v>
      </c>
      <c r="J51" s="8">
        <f>COUNTIFS([1]DATABASE!$G:$G,"AKTIF",[1]DATABASE!$N:$N,"Laki-Laki",[1]DATABASE!$AE:$AE,"S2 + Profesi",[1]DATABASE!$AG:$AG,"Spesialis Patologi Anatomi")</f>
        <v>1</v>
      </c>
      <c r="K51" s="8">
        <f t="shared" si="2"/>
        <v>2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8">
        <v>49</v>
      </c>
      <c r="B52" s="9" t="s">
        <v>61</v>
      </c>
      <c r="C52" s="8" t="s">
        <v>37</v>
      </c>
      <c r="D52" s="8">
        <f>COUNTIFS([1]DATABASE!$G:$G,"AKTIF",[1]DATABASE!$AW:$AW,"PNS",[1]DATABASE!$AE:$AE,"S2 + Profesi",[1]DATABASE!$AG:$AG,"Spesialis Patologi Klinik")</f>
        <v>4</v>
      </c>
      <c r="E52" s="8">
        <f>COUNTIFS([1]DATABASE!$G:$G,"AKTIF",[1]DATABASE!$AW:$AW,"APBD",[1]DATABASE!$AE:$AE,"S2 + Profesi",[1]DATABASE!$AG:$AG,"Spesialis Patologi Klinik")</f>
        <v>0</v>
      </c>
      <c r="F52" s="8">
        <f>COUNTIFS([1]DATABASE!$G:$G,"AKTIF",[1]DATABASE!$AW:$AW,"BLUD",[1]DATABASE!$AE:$AE,"S2 + Profesi",[1]DATABASE!$AG:$AG,"Spesialis Patologi Klinik")</f>
        <v>0</v>
      </c>
      <c r="G52" s="10">
        <f t="shared" si="6"/>
        <v>4</v>
      </c>
      <c r="H52" s="3"/>
      <c r="I52" s="8">
        <f>COUNTIFS([1]DATABASE!$G:$G,"AKTIF",[1]DATABASE!$N:$N,"Perempuan",[1]DATABASE!$AE:$AE,"S2 + Profesi",[1]DATABASE!$AG:$AG,"Spesialis Patologi Klinik")</f>
        <v>2</v>
      </c>
      <c r="J52" s="8">
        <f>COUNTIFS([1]DATABASE!$G:$G,"AKTIF",[1]DATABASE!$N:$N,"Laki-Laki",[1]DATABASE!$AE:$AE,"S2 + Profesi",[1]DATABASE!$AG:$AG,"Spesialis Patologi Klinik")</f>
        <v>2</v>
      </c>
      <c r="K52" s="8">
        <f t="shared" si="2"/>
        <v>4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8">
        <v>50</v>
      </c>
      <c r="B53" s="9" t="s">
        <v>62</v>
      </c>
      <c r="C53" s="8" t="s">
        <v>37</v>
      </c>
      <c r="D53" s="8">
        <f>COUNTIFS([1]DATABASE!$G:$G,"AKTIF",[1]DATABASE!$AW:$AW,"PNS",[1]DATABASE!$AE:$AE,"S2 + Profesi",[1]DATABASE!$AG:$AG,"Spesialis Penyakit Dalam")</f>
        <v>3</v>
      </c>
      <c r="E53" s="8">
        <f>COUNTIFS([1]DATABASE!$G:$G,"AKTIF",[1]DATABASE!$AW:$AW,"APBD",[1]DATABASE!$AE:$AE,"S2 + Profesi",[1]DATABASE!$AG:$AG,"Spesialis Penyakit Dalam")</f>
        <v>0</v>
      </c>
      <c r="F53" s="8">
        <f>COUNTIFS([1]DATABASE!$G:$G,"AKTIF",[1]DATABASE!$AW:$AW,"BLUD",[1]DATABASE!$AE:$AE,"S2 + Profesi",[1]DATABASE!$AG:$AG,"Spesialis Penyakit Dalam")</f>
        <v>2</v>
      </c>
      <c r="G53" s="10">
        <f t="shared" si="6"/>
        <v>5</v>
      </c>
      <c r="H53" s="3"/>
      <c r="I53" s="8">
        <f>COUNTIFS([1]DATABASE!$G:$G,"AKTIF",[1]DATABASE!$N:$N,"Perempuan",[1]DATABASE!$AE:$AE,"S2 + Profesi",[1]DATABASE!$AG:$AG,"Spesialis Penyakit Dalam")</f>
        <v>1</v>
      </c>
      <c r="J53" s="8">
        <f>COUNTIFS([1]DATABASE!$G:$G,"AKTIF",[1]DATABASE!$N:$N,"Laki-Laki",[1]DATABASE!$AE:$AE,"S2 + Profesi",[1]DATABASE!$AG:$AG,"Spesialis Penyakit Dalam")</f>
        <v>4</v>
      </c>
      <c r="K53" s="8">
        <f t="shared" si="2"/>
        <v>5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8">
        <v>51</v>
      </c>
      <c r="B54" s="9" t="s">
        <v>63</v>
      </c>
      <c r="C54" s="8" t="s">
        <v>37</v>
      </c>
      <c r="D54" s="8">
        <f>COUNTIFS([1]DATABASE!$G:$G,"AKTIF",[1]DATABASE!$AW:$AW,"PNS",[1]DATABASE!$AE:$AE,"S2 + Profesi",[1]DATABASE!$AG:$AG,"Spesialis Prostodonsia")</f>
        <v>2</v>
      </c>
      <c r="E54" s="8">
        <f>COUNTIFS([1]DATABASE!$G:$G,"AKTIF",[1]DATABASE!$AW:$AW,"APBD",[1]DATABASE!$AE:$AE,"S2 + Profesi",[1]DATABASE!$AG:$AG,"Spesialis Prostodonsia")</f>
        <v>0</v>
      </c>
      <c r="F54" s="8">
        <f>COUNTIFS([1]DATABASE!$G:$G,"AKTIF",[1]DATABASE!$AW:$AW,"BLUD",[1]DATABASE!$AE:$AE,"S2 + Profesi",[1]DATABASE!$AG:$AG,"Spesialis Prostodonsia")</f>
        <v>0</v>
      </c>
      <c r="G54" s="10">
        <f t="shared" si="6"/>
        <v>2</v>
      </c>
      <c r="H54" s="3"/>
      <c r="I54" s="8">
        <f>COUNTIFS([1]DATABASE!$G:$G,"AKTIF",[1]DATABASE!$N:$N,"Perempuan",[1]DATABASE!$AE:$AE,"S2 + Profesi",[1]DATABASE!$AG:$AG,"Spesialis Prostodonsia")</f>
        <v>1</v>
      </c>
      <c r="J54" s="8">
        <f>COUNTIFS([1]DATABASE!$G:$G,"AKTIF",[1]DATABASE!$N:$N,"Laki-Laki",[1]DATABASE!$AE:$AE,"S2 + Profesi",[1]DATABASE!$AG:$AG,"Spesialis Prostodonsia")</f>
        <v>1</v>
      </c>
      <c r="K54" s="8">
        <f t="shared" si="2"/>
        <v>2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8">
        <v>52</v>
      </c>
      <c r="B55" s="9" t="s">
        <v>64</v>
      </c>
      <c r="C55" s="8" t="s">
        <v>37</v>
      </c>
      <c r="D55" s="8">
        <f>COUNTIFS([1]DATABASE!$G:$G,"AKTIF",[1]DATABASE!$AW:$AW,"PNS",[1]DATABASE!$AE:$AE,"S2 + Profesi",[1]DATABASE!$AG:$AG,"Spesialis Pulmonologi Dan Kedokteran Respirasi Paru")</f>
        <v>2</v>
      </c>
      <c r="E55" s="8">
        <f>COUNTIFS([1]DATABASE!$G:$G,"AKTIF",[1]DATABASE!$AW:$AW,"APBD",[1]DATABASE!$AE:$AE,"S2 + Profesi",[1]DATABASE!$AG:$AG,"Spesialis Pulmonologi Dan Kedokteran Respirasi Paru")</f>
        <v>1</v>
      </c>
      <c r="F55" s="8">
        <f>COUNTIFS([1]DATABASE!$G:$G,"AKTIF",[1]DATABASE!$AW:$AW,"BLUD",[1]DATABASE!$AE:$AE,"S2 + Profesi",[1]DATABASE!$AG:$AG,"Spesialis Pulmonologi Dan Kedokteran Respirasi Paru")</f>
        <v>0</v>
      </c>
      <c r="G55" s="10">
        <f t="shared" si="6"/>
        <v>3</v>
      </c>
      <c r="H55" s="3"/>
      <c r="I55" s="8">
        <f>COUNTIFS([1]DATABASE!$G:$G,"AKTIF",[1]DATABASE!$N:$N,"Perempuan",[1]DATABASE!$AE:$AE,"S2 + Profesi",[1]DATABASE!$AG:$AG,"Spesialis Pulmonologi Dan Kedokteran Respirasi Paru")</f>
        <v>1</v>
      </c>
      <c r="J55" s="8">
        <f>COUNTIFS([1]DATABASE!$G:$G,"AKTIF",[1]DATABASE!$N:$N,"Laki-Laki",[1]DATABASE!$AE:$AE,"S2 + Profesi",[1]DATABASE!$AG:$AG,"Spesialis Pulmonologi Dan Kedokteran Respirasi Paru")</f>
        <v>2</v>
      </c>
      <c r="K55" s="8">
        <f t="shared" si="2"/>
        <v>3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8">
        <v>53</v>
      </c>
      <c r="B56" s="9" t="s">
        <v>65</v>
      </c>
      <c r="C56" s="8" t="s">
        <v>37</v>
      </c>
      <c r="D56" s="8">
        <f>COUNTIFS([1]DATABASE!$G:$G,"AKTIF",[1]DATABASE!$AW:$AW,"PNS",[1]DATABASE!$AE:$AE,"S2 + Profesi",[1]DATABASE!$AG:$AG,"Spesialis Radiologi")</f>
        <v>0</v>
      </c>
      <c r="E56" s="8">
        <f>COUNTIFS([1]DATABASE!$G:$G,"AKTIF",[1]DATABASE!$AW:$AW,"APBD",[1]DATABASE!$AE:$AE,"S2 + Profesi",[1]DATABASE!$AG:$AG,"Spesialis Radiologi")</f>
        <v>1</v>
      </c>
      <c r="F56" s="8">
        <f>COUNTIFS([1]DATABASE!$G:$G,"AKTIF",[1]DATABASE!$AW:$AW,"BLUD",[1]DATABASE!$AE:$AE,"S2 + Profesi",[1]DATABASE!$AG:$AG,"Spesialis Radiologi")</f>
        <v>0</v>
      </c>
      <c r="G56" s="10">
        <f t="shared" si="6"/>
        <v>1</v>
      </c>
      <c r="H56" s="3"/>
      <c r="I56" s="8">
        <f>COUNTIFS([1]DATABASE!$G:$G,"AKTIF",[1]DATABASE!$N:$N,"Perempuan",[1]DATABASE!$AE:$AE,"S2 + Profesi",[1]DATABASE!$AG:$AG,"Spesialis Radiologi")</f>
        <v>0</v>
      </c>
      <c r="J56" s="8">
        <f>COUNTIFS([1]DATABASE!$G:$G,"AKTIF",[1]DATABASE!$N:$N,"Laki-Laki",[1]DATABASE!$AE:$AE,"S2 + Profesi",[1]DATABASE!$AG:$AG,"Spesialis Radiologi")</f>
        <v>1</v>
      </c>
      <c r="K56" s="8">
        <f t="shared" si="2"/>
        <v>1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8">
        <v>54</v>
      </c>
      <c r="B57" s="9" t="s">
        <v>66</v>
      </c>
      <c r="C57" s="8" t="s">
        <v>37</v>
      </c>
      <c r="D57" s="8">
        <f>COUNTIFS([1]DATABASE!$G:$G,"AKTIF",[1]DATABASE!$AW:$AW,"PNS",[1]DATABASE!$AE:$AE,"S2 + Profesi",[1]DATABASE!$AG:$AG,"Spesialis Telinga Hidung Tenggorok")</f>
        <v>3</v>
      </c>
      <c r="E57" s="8">
        <f>COUNTIFS([1]DATABASE!$G:$G,"AKTIF",[1]DATABASE!$AW:$AW,"APBD",[1]DATABASE!$AE:$AE,"S2 + Profesi",[1]DATABASE!$AG:$AG,"Spesialis Telinga Hidung Tenggorok")</f>
        <v>0</v>
      </c>
      <c r="F57" s="8">
        <f>COUNTIFS([1]DATABASE!$G:$G,"AKTIF",[1]DATABASE!$AW:$AW,"BLUD",[1]DATABASE!$AE:$AE,"S2 + Profesi",[1]DATABASE!$AG:$AG,"Spesialis Telinga Hidung Tenggorok")</f>
        <v>0</v>
      </c>
      <c r="G57" s="10">
        <f t="shared" si="6"/>
        <v>3</v>
      </c>
      <c r="H57" s="3"/>
      <c r="I57" s="8">
        <f>COUNTIFS([1]DATABASE!$G:$G,"AKTIF",[1]DATABASE!$N:$N,"Perempuan",[1]DATABASE!$AE:$AE,"S2 + Profesi",[1]DATABASE!$AG:$AG,"Spesialis Telinga Hidung Tenggorok")</f>
        <v>3</v>
      </c>
      <c r="J57" s="8">
        <f>COUNTIFS([1]DATABASE!$G:$G,"AKTIF",[1]DATABASE!$N:$N,"Laki-Laki",[1]DATABASE!$AE:$AE,"S2 + Profesi",[1]DATABASE!$AG:$AG,"Spesialis Telinga Hidung Tenggorok")</f>
        <v>0</v>
      </c>
      <c r="K57" s="8">
        <f t="shared" si="2"/>
        <v>3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5" t="s">
        <v>67</v>
      </c>
      <c r="B58" s="6"/>
      <c r="C58" s="6"/>
      <c r="D58" s="7">
        <f t="shared" ref="D58:G58" si="7">SUM(D59:D60)</f>
        <v>18</v>
      </c>
      <c r="E58" s="7">
        <f t="shared" si="7"/>
        <v>11</v>
      </c>
      <c r="F58" s="7">
        <f t="shared" si="7"/>
        <v>13</v>
      </c>
      <c r="G58" s="7">
        <f t="shared" si="7"/>
        <v>42</v>
      </c>
      <c r="H58" s="3"/>
      <c r="I58" s="7">
        <f t="shared" ref="I58:J58" si="8">SUM(I59:I60)</f>
        <v>31</v>
      </c>
      <c r="J58" s="7">
        <f t="shared" si="8"/>
        <v>11</v>
      </c>
      <c r="K58" s="7">
        <f t="shared" si="2"/>
        <v>42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8">
        <v>55</v>
      </c>
      <c r="B59" s="9" t="s">
        <v>68</v>
      </c>
      <c r="C59" s="8" t="s">
        <v>69</v>
      </c>
      <c r="D59" s="8">
        <f>COUNTIFS([1]DATABASE!$G:$G,"AKTIF",[1]DATABASE!$AW:$AW,"PNS",[1]DATABASE!$AE:$AE,"S1",[1]DATABASE!$AG:$AG,"Kedokteran Gigi umum")</f>
        <v>2</v>
      </c>
      <c r="E59" s="8">
        <f>COUNTIFS([1]DATABASE!$G:$G,"AKTIF",[1]DATABASE!$AW:$AW,"APBD",[1]DATABASE!$AE:$AE,"S1",[1]DATABASE!$AG:$AG,"Kedokteran Gigi umum")</f>
        <v>0</v>
      </c>
      <c r="F59" s="8">
        <f>COUNTIFS([1]DATABASE!$G:$G,"AKTIF",[1]DATABASE!$AW:$AW,"BLUD",[1]DATABASE!$AE:$AE,"S1",[1]DATABASE!$AG:$AG,"Kedokteran Gigi umum")</f>
        <v>0</v>
      </c>
      <c r="G59" s="10">
        <f t="shared" ref="G59:G60" si="9">SUM(D59:F59)</f>
        <v>2</v>
      </c>
      <c r="H59" s="3"/>
      <c r="I59" s="8">
        <f>COUNTIFS([1]DATABASE!$G:$G,"AKTIF",[1]DATABASE!$N:$N,"Perempuan",[1]DATABASE!$AE:$AE,"S1",[1]DATABASE!$AG:$AG,"Kedokteran Gigi umum")</f>
        <v>2</v>
      </c>
      <c r="J59" s="8">
        <f>COUNTIFS([1]DATABASE!$G:$G,"AKTIF",[1]DATABASE!$N:$N,"Laki-Laki",[1]DATABASE!$AE:$AE,"S1",[1]DATABASE!$AG:$AG,"Kedokteran Gigi umum")</f>
        <v>0</v>
      </c>
      <c r="K59" s="8">
        <f t="shared" si="2"/>
        <v>2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8">
        <v>56</v>
      </c>
      <c r="B60" s="9" t="s">
        <v>70</v>
      </c>
      <c r="C60" s="8" t="s">
        <v>69</v>
      </c>
      <c r="D60" s="8">
        <f>COUNTIFS([1]DATABASE!$G:$G,"AKTIF",[1]DATABASE!$AW:$AW,"PNS",[1]DATABASE!$AE:$AE,"S1",[1]DATABASE!$AG:$AG,"Kedokteran Umum")</f>
        <v>16</v>
      </c>
      <c r="E60" s="8">
        <f>COUNTIFS([1]DATABASE!$G:$G,"AKTIF",[1]DATABASE!$AW:$AW,"APBD",[1]DATABASE!$AE:$AE,"S1",[1]DATABASE!$AG:$AG,"Kedokteran Umum")</f>
        <v>11</v>
      </c>
      <c r="F60" s="8">
        <f>COUNTIFS([1]DATABASE!$G:$G,"AKTIF",[1]DATABASE!$AW:$AW,"BLUD",[1]DATABASE!$AE:$AE,"S1",[1]DATABASE!$AG:$AG,"Kedokteran Umum")</f>
        <v>13</v>
      </c>
      <c r="G60" s="10">
        <f t="shared" si="9"/>
        <v>40</v>
      </c>
      <c r="H60" s="3"/>
      <c r="I60" s="8">
        <f>COUNTIFS([1]DATABASE!$G:$G,"AKTIF",[1]DATABASE!$N:$N,"Perempuan",[1]DATABASE!$AE:$AE,"S1",[1]DATABASE!$AG:$AG,"Kedokteran Umum")</f>
        <v>29</v>
      </c>
      <c r="J60" s="8">
        <f>COUNTIFS([1]DATABASE!$G:$G,"AKTIF",[1]DATABASE!$N:$N,"Laki-Laki",[1]DATABASE!$AE:$AE,"S1",[1]DATABASE!$AG:$AG,"Kedokteran Umum")</f>
        <v>11</v>
      </c>
      <c r="K60" s="8">
        <f t="shared" si="2"/>
        <v>40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5" t="s">
        <v>71</v>
      </c>
      <c r="B61" s="6"/>
      <c r="C61" s="6"/>
      <c r="D61" s="7">
        <f t="shared" ref="D61:G61" si="10">SUM(D62:D81)</f>
        <v>36</v>
      </c>
      <c r="E61" s="7">
        <f t="shared" si="10"/>
        <v>8</v>
      </c>
      <c r="F61" s="7">
        <f t="shared" si="10"/>
        <v>2</v>
      </c>
      <c r="G61" s="7">
        <f t="shared" si="10"/>
        <v>46</v>
      </c>
      <c r="H61" s="3"/>
      <c r="I61" s="7">
        <f t="shared" ref="I61:J61" si="11">SUM(I62:I81)</f>
        <v>40</v>
      </c>
      <c r="J61" s="7">
        <f t="shared" si="11"/>
        <v>6</v>
      </c>
      <c r="K61" s="7">
        <f t="shared" si="2"/>
        <v>46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8">
        <v>57</v>
      </c>
      <c r="B62" s="9" t="s">
        <v>72</v>
      </c>
      <c r="C62" s="8" t="s">
        <v>37</v>
      </c>
      <c r="D62" s="8">
        <f>COUNTIFS([1]DATABASE!$G:$G,"AKTIF",[1]DATABASE!$AW:$AW,"PNS",[1]DATABASE!$AE:$AE,"S2",[1]DATABASE!$AG:$AG,"ADMINISTRASI DAN KEBIJAKAN KESEHATAN")</f>
        <v>1</v>
      </c>
      <c r="E62" s="8">
        <f>COUNTIFS([1]DATABASE!$G:$G,"AKTIF",[1]DATABASE!$AW:$AW,"APBD",[1]DATABASE!$AE:$AE,"S2",[1]DATABASE!$AG:$AG,"ADMINISTRASI DAN KEBIJAKAN KESEHATAN")</f>
        <v>0</v>
      </c>
      <c r="F62" s="8">
        <f>COUNTIFS([1]DATABASE!$G:$G,"AKTIF",[1]DATABASE!$AW:$AW,"BLUD",[1]DATABASE!$AE:$AE,"S2",[1]DATABASE!$AG:$AG,"ADMINISTRASI DAN KEBIJAKAN KESEHATAN")</f>
        <v>0</v>
      </c>
      <c r="G62" s="10">
        <f t="shared" ref="G62:G81" si="12">SUM(D62:F62)</f>
        <v>1</v>
      </c>
      <c r="H62" s="3"/>
      <c r="I62" s="8">
        <f>COUNTIFS([1]DATABASE!$G:$G,"AKTIF",[1]DATABASE!$N:$N,"Perempuan",[1]DATABASE!$AE:$AE,"S2",[1]DATABASE!$AG:$AG,"ADMINISTRASI DAN KEBIJAKAN KESEHATAN")</f>
        <v>1</v>
      </c>
      <c r="J62" s="8">
        <f>COUNTIFS([1]DATABASE!$G:$G,"AKTIF",[1]DATABASE!$N:$N,"Laki-Laki",[1]DATABASE!$AE:$AE,"S2",[1]DATABASE!$AG:$AG,"ADMINISTRASI DAN KEBIJAKAN KESEHATAN")</f>
        <v>0</v>
      </c>
      <c r="K62" s="8">
        <f t="shared" si="2"/>
        <v>1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8">
        <v>58</v>
      </c>
      <c r="B63" s="9" t="s">
        <v>73</v>
      </c>
      <c r="C63" s="8" t="s">
        <v>37</v>
      </c>
      <c r="D63" s="8">
        <f>COUNTIFS([1]DATABASE!$G:$G,"AKTIF",[1]DATABASE!$AW:$AW,"PNS",[1]DATABASE!$AE:$AE,"S2",[1]DATABASE!$AG:$AG,"ADMINISTRASI PERKANTORAN DAN SEKRETARIS")</f>
        <v>0</v>
      </c>
      <c r="E63" s="8">
        <f>COUNTIFS([1]DATABASE!$G:$G,"AKTIF",[1]DATABASE!$AW:$AW,"APBD",[1]DATABASE!$AE:$AE,"S2",[1]DATABASE!$AG:$AG,"ADMINISTRASI PERKANTORAN DAN SEKRETARIS")</f>
        <v>0</v>
      </c>
      <c r="F63" s="8">
        <f>COUNTIFS([1]DATABASE!$G:$G,"AKTIF",[1]DATABASE!$AW:$AW,"BLUD",[1]DATABASE!$AE:$AE,"S2",[1]DATABASE!$AG:$AG,"ADMINISTRASI PERKANTORAN DAN SEKRETARIS")</f>
        <v>0</v>
      </c>
      <c r="G63" s="10">
        <f t="shared" si="12"/>
        <v>0</v>
      </c>
      <c r="H63" s="3"/>
      <c r="I63" s="8">
        <f>COUNTIFS([1]DATABASE!$G:$G,"AKTIF",[1]DATABASE!$N:$N,"Perempuan",[1]DATABASE!$AE:$AE,"S2",[1]DATABASE!$AG:$AG,"ADMINISTRASI PERKANTORAN DAN SEKRETARIS")</f>
        <v>0</v>
      </c>
      <c r="J63" s="8">
        <f>COUNTIFS([1]DATABASE!$G:$G,"AKTIF",[1]DATABASE!$N:$N,"Laki-Laki",[1]DATABASE!$AE:$AE,"S2",[1]DATABASE!$AG:$AG,"ADMINISTRASI PERKANTORAN DAN SEKRETARIS")</f>
        <v>0</v>
      </c>
      <c r="K63" s="8">
        <f t="shared" si="2"/>
        <v>0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8">
        <v>59</v>
      </c>
      <c r="B64" s="9" t="s">
        <v>74</v>
      </c>
      <c r="C64" s="8" t="s">
        <v>37</v>
      </c>
      <c r="D64" s="8">
        <f>COUNTIFS([1]DATABASE!$G:$G,"AKTIF",[1]DATABASE!$AW:$AW,"PNS",[1]DATABASE!$AE:$AE,"S2",[1]DATABASE!$AG:$AG,"ENTOMOLOGI")</f>
        <v>0</v>
      </c>
      <c r="E64" s="8">
        <f>COUNTIFS([1]DATABASE!$G:$G,"AKTIF",[1]DATABASE!$AW:$AW,"APBD",[1]DATABASE!$AE:$AE,"S2",[1]DATABASE!$AG:$AG,"ENTOMOLOGI")</f>
        <v>0</v>
      </c>
      <c r="F64" s="8">
        <f>COUNTIFS([1]DATABASE!$G:$G,"AKTIF",[1]DATABASE!$AW:$AW,"BLUD",[1]DATABASE!$AE:$AE,"S2",[1]DATABASE!$AG:$AG,"ENTOMOLOGI")</f>
        <v>0</v>
      </c>
      <c r="G64" s="10">
        <f t="shared" si="12"/>
        <v>0</v>
      </c>
      <c r="H64" s="3"/>
      <c r="I64" s="8">
        <f>COUNTIFS([1]DATABASE!$G:$G,"AKTIF",[1]DATABASE!$N:$N,"Perempuan",[1]DATABASE!$AE:$AE,"S2",[1]DATABASE!$AG:$AG,"ENTOMOLOGI")</f>
        <v>0</v>
      </c>
      <c r="J64" s="8">
        <f>COUNTIFS([1]DATABASE!$G:$G,"AKTIF",[1]DATABASE!$N:$N,"Laki-Laki",[1]DATABASE!$AE:$AE,"S2",[1]DATABASE!$AG:$AG,"ENTOMOLOGI")</f>
        <v>0</v>
      </c>
      <c r="K64" s="8">
        <f t="shared" si="2"/>
        <v>0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8">
        <v>60</v>
      </c>
      <c r="B65" s="9" t="s">
        <v>75</v>
      </c>
      <c r="C65" s="8" t="s">
        <v>37</v>
      </c>
      <c r="D65" s="8">
        <f>COUNTIFS([1]DATABASE!$G:$G,"AKTIF",[1]DATABASE!$AW:$AW,"PNS",[1]DATABASE!$AE:$AE,"S2",[1]DATABASE!$AG:$AG,"EPIDEMIOLOGI")</f>
        <v>0</v>
      </c>
      <c r="E65" s="8">
        <f>COUNTIFS([1]DATABASE!$G:$G,"AKTIF",[1]DATABASE!$AW:$AW,"APBD",[1]DATABASE!$AE:$AE,"S2",[1]DATABASE!$AG:$AG,"EPIDEMIOLOGI")</f>
        <v>0</v>
      </c>
      <c r="F65" s="8">
        <f>COUNTIFS([1]DATABASE!$G:$G,"AKTIF",[1]DATABASE!$AW:$AW,"BLUD",[1]DATABASE!$AE:$AE,"S2",[1]DATABASE!$AG:$AG,"EPIDEMIOLOGI")</f>
        <v>0</v>
      </c>
      <c r="G65" s="10">
        <f t="shared" si="12"/>
        <v>0</v>
      </c>
      <c r="H65" s="3"/>
      <c r="I65" s="8">
        <f>COUNTIFS([1]DATABASE!$G:$G,"AKTIF",[1]DATABASE!$N:$N,"Perempuan",[1]DATABASE!$AE:$AE,"S2",[1]DATABASE!$AG:$AG,"EPIDEMIOLOGI")</f>
        <v>0</v>
      </c>
      <c r="J65" s="8">
        <f>COUNTIFS([1]DATABASE!$G:$G,"AKTIF",[1]DATABASE!$N:$N,"Laki-Laki",[1]DATABASE!$AE:$AE,"S2",[1]DATABASE!$AG:$AG,"EPIDEMIOLOGI")</f>
        <v>0</v>
      </c>
      <c r="K65" s="8">
        <f t="shared" si="2"/>
        <v>0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8">
        <v>61</v>
      </c>
      <c r="B66" s="9" t="s">
        <v>76</v>
      </c>
      <c r="C66" s="8" t="s">
        <v>37</v>
      </c>
      <c r="D66" s="8">
        <f>COUNTIFS([1]DATABASE!$G:$G,"AKTIF",[1]DATABASE!$AW:$AW,"PNS",[1]DATABASE!$AE:$AE,"S2",[1]DATABASE!$AG:$AG,"KESEHATAN LINGKUNGAN")</f>
        <v>0</v>
      </c>
      <c r="E66" s="8">
        <f>COUNTIFS([1]DATABASE!$G:$G,"AKTIF",[1]DATABASE!$AW:$AW,"APBD",[1]DATABASE!$AE:$AE,"S2",[1]DATABASE!$AG:$AG,"KESEHATAN LINGKUNGAN")</f>
        <v>0</v>
      </c>
      <c r="F66" s="8">
        <f>COUNTIFS([1]DATABASE!$G:$G,"AKTIF",[1]DATABASE!$AW:$AW,"BLUD",[1]DATABASE!$AE:$AE,"S2",[1]DATABASE!$AG:$AG,"KESEHATAN LINGKUNGAN")</f>
        <v>0</v>
      </c>
      <c r="G66" s="10">
        <f t="shared" si="12"/>
        <v>0</v>
      </c>
      <c r="H66" s="3"/>
      <c r="I66" s="8">
        <f>COUNTIFS([1]DATABASE!$G:$G,"AKTIF",[1]DATABASE!$N:$N,"Perempuan",[1]DATABASE!$AE:$AE,"S2",[1]DATABASE!$AG:$AG,"KESEHATAN LINGKUNGAN")</f>
        <v>0</v>
      </c>
      <c r="J66" s="8">
        <f>COUNTIFS([1]DATABASE!$G:$G,"AKTIF",[1]DATABASE!$N:$N,"Laki-Laki",[1]DATABASE!$AE:$AE,"S2",[1]DATABASE!$AG:$AG,"KESEHATAN LINGKUNGAN")</f>
        <v>0</v>
      </c>
      <c r="K66" s="8">
        <f t="shared" si="2"/>
        <v>0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8">
        <v>62</v>
      </c>
      <c r="B67" s="9" t="s">
        <v>77</v>
      </c>
      <c r="C67" s="8" t="s">
        <v>37</v>
      </c>
      <c r="D67" s="8">
        <f>COUNTIFS([1]DATABASE!$G:$G,"AKTIF",[1]DATABASE!$AW:$AW,"PNS",[1]DATABASE!$AE:$AE,"S2",[1]DATABASE!$AG:$AG,"KESEHATAN MASYARAKAT")</f>
        <v>8</v>
      </c>
      <c r="E67" s="8">
        <f>COUNTIFS([1]DATABASE!$G:$G,"AKTIF",[1]DATABASE!$AW:$AW,"APBD",[1]DATABASE!$AE:$AE,"S2",[1]DATABASE!$AG:$AG,"KESEHATAN MASYARAKAT")</f>
        <v>0</v>
      </c>
      <c r="F67" s="8">
        <f>COUNTIFS([1]DATABASE!$G:$G,"AKTIF",[1]DATABASE!$AW:$AW,"BLUD",[1]DATABASE!$AE:$AE,"S2",[1]DATABASE!$AG:$AG,"KESEHATAN MASYARAKAT")</f>
        <v>1</v>
      </c>
      <c r="G67" s="10">
        <f t="shared" si="12"/>
        <v>9</v>
      </c>
      <c r="H67" s="3"/>
      <c r="I67" s="8">
        <f>COUNTIFS([1]DATABASE!$G:$G,"AKTIF",[1]DATABASE!$N:$N,"Perempuan",[1]DATABASE!$AE:$AE,"S2",[1]DATABASE!$AG:$AG,"KESEHATAN MASYARAKAT")</f>
        <v>9</v>
      </c>
      <c r="J67" s="8">
        <f>COUNTIFS([1]DATABASE!$G:$G,"AKTIF",[1]DATABASE!$N:$N,"Laki-Laki",[1]DATABASE!$AE:$AE,"S2",[1]DATABASE!$AG:$AG,"KESEHATAN MASYARAKAT")</f>
        <v>0</v>
      </c>
      <c r="K67" s="8">
        <f t="shared" si="2"/>
        <v>9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8">
        <v>63</v>
      </c>
      <c r="B68" s="9" t="s">
        <v>78</v>
      </c>
      <c r="C68" s="8" t="s">
        <v>37</v>
      </c>
      <c r="D68" s="8">
        <f>COUNTIFS([1]DATABASE!$G:$G,"AKTIF",[1]DATABASE!$AW:$AW,"PNS",[1]DATABASE!$AE:$AE,"S2",[1]DATABASE!$AG:$AG,"ILMU KESEHATAN MASYARAKAT")</f>
        <v>3</v>
      </c>
      <c r="E68" s="8">
        <f>COUNTIFS([1]DATABASE!$G:$G,"AKTIF",[1]DATABASE!$AW:$AW,"APBD",[1]DATABASE!$AE:$AE,"S2",[1]DATABASE!$AG:$AG,"ILMU KESEHATAN MASYARAKAT")</f>
        <v>0</v>
      </c>
      <c r="F68" s="8">
        <f>COUNTIFS([1]DATABASE!$G:$G,"AKTIF",[1]DATABASE!$AW:$AW,"BLUD",[1]DATABASE!$AE:$AE,"S2",[1]DATABASE!$AG:$AG,"ILMU KESEHATAN MASYARAKAT")</f>
        <v>0</v>
      </c>
      <c r="G68" s="10">
        <f t="shared" si="12"/>
        <v>3</v>
      </c>
      <c r="H68" s="3"/>
      <c r="I68" s="8">
        <f>COUNTIFS([1]DATABASE!$G:$G,"AKTIF",[1]DATABASE!$N:$N,"Perempuan",[1]DATABASE!$AE:$AE,"S2",[1]DATABASE!$AG:$AG,"ILMU KESEHATAN MASYARAKAT")</f>
        <v>3</v>
      </c>
      <c r="J68" s="8">
        <f>COUNTIFS([1]DATABASE!$G:$G,"AKTIF",[1]DATABASE!$N:$N,"Laki-Laki",[1]DATABASE!$AE:$AE,"S2",[1]DATABASE!$AG:$AG,"ILMU KESEHATAN MASYARAKAT")</f>
        <v>0</v>
      </c>
      <c r="K68" s="8">
        <f t="shared" si="2"/>
        <v>3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8">
        <v>64</v>
      </c>
      <c r="B69" s="9" t="s">
        <v>79</v>
      </c>
      <c r="C69" s="8" t="s">
        <v>37</v>
      </c>
      <c r="D69" s="8">
        <f>COUNTIFS([1]DATABASE!$G:$G,"AKTIF",[1]DATABASE!$AW:$AW,"PNS",[1]DATABASE!$AE:$AE,"S2",[1]DATABASE!$AG:$AG,"KESEHATAN REPRODUKSI")</f>
        <v>0</v>
      </c>
      <c r="E69" s="8">
        <f>COUNTIFS([1]DATABASE!$G:$G,"AKTIF",[1]DATABASE!$AW:$AW,"APBD",[1]DATABASE!$AE:$AE,"S2",[1]DATABASE!$AG:$AG,"KESEHATAN REPRODUKSI")</f>
        <v>0</v>
      </c>
      <c r="F69" s="8">
        <f>COUNTIFS([1]DATABASE!$G:$G,"AKTIF",[1]DATABASE!$AW:$AW,"BLUD",[1]DATABASE!$AE:$AE,"S2",[1]DATABASE!$AG:$AG,"KESEHATAN REPRODUKSI")</f>
        <v>0</v>
      </c>
      <c r="G69" s="10">
        <f t="shared" si="12"/>
        <v>0</v>
      </c>
      <c r="H69" s="3"/>
      <c r="I69" s="8">
        <f>COUNTIFS([1]DATABASE!$G:$G,"AKTIF",[1]DATABASE!$N:$N,"Perempuan",[1]DATABASE!$AE:$AE,"S2",[1]DATABASE!$AG:$AG,"KESEHATAN REPRODUKSI")</f>
        <v>0</v>
      </c>
      <c r="J69" s="8">
        <f>COUNTIFS([1]DATABASE!$G:$G,"AKTIF",[1]DATABASE!$N:$N,"Laki-Laki",[1]DATABASE!$AE:$AE,"S2",[1]DATABASE!$AG:$AG,"KESEHATAN REPRODUKSI")</f>
        <v>0</v>
      </c>
      <c r="K69" s="8">
        <f t="shared" si="2"/>
        <v>0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8">
        <v>65</v>
      </c>
      <c r="B70" s="9" t="s">
        <v>80</v>
      </c>
      <c r="C70" s="8" t="s">
        <v>37</v>
      </c>
      <c r="D70" s="8">
        <f>COUNTIFS([1]DATABASE!$G:$G,"AKTIF",[1]DATABASE!$AW:$AW,"PNS",[1]DATABASE!$AE:$AE,"S2",[1]DATABASE!$AG:$AG,"PROMOSI KESEHATAN")</f>
        <v>0</v>
      </c>
      <c r="E70" s="8">
        <f>COUNTIFS([1]DATABASE!$G:$G,"AKTIF",[1]DATABASE!$AW:$AW,"APBD",[1]DATABASE!$AE:$AE,"S2",[1]DATABASE!$AG:$AG,"PROMOSI KESEHATAN")</f>
        <v>0</v>
      </c>
      <c r="F70" s="8">
        <f>COUNTIFS([1]DATABASE!$G:$G,"AKTIF",[1]DATABASE!$AW:$AW,"BLUD",[1]DATABASE!$AE:$AE,"S2",[1]DATABASE!$AG:$AG,"PROMOSI KESEHATAN")</f>
        <v>0</v>
      </c>
      <c r="G70" s="10">
        <f t="shared" si="12"/>
        <v>0</v>
      </c>
      <c r="H70" s="3"/>
      <c r="I70" s="8">
        <f>COUNTIFS([1]DATABASE!$G:$G,"AKTIF",[1]DATABASE!$N:$N,"Perempuan",[1]DATABASE!$AE:$AE,"S2",[1]DATABASE!$AG:$AG,"PROMOSI KESEHATAN")</f>
        <v>0</v>
      </c>
      <c r="J70" s="8">
        <f>COUNTIFS([1]DATABASE!$G:$G,"AKTIF",[1]DATABASE!$N:$N,"Laki-Laki",[1]DATABASE!$AE:$AE,"S2",[1]DATABASE!$AG:$AG,"PROMOSI KESEHATAN")</f>
        <v>0</v>
      </c>
      <c r="K70" s="8">
        <f t="shared" si="2"/>
        <v>0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8">
        <v>66</v>
      </c>
      <c r="B71" s="9" t="s">
        <v>81</v>
      </c>
      <c r="C71" s="8" t="s">
        <v>37</v>
      </c>
      <c r="D71" s="8">
        <f>COUNTIFS([1]DATABASE!$G:$G,"AKTIF",[1]DATABASE!$AW:$AW,"PNS",[1]DATABASE!$AE:$AE,"S2",[1]DATABASE!$AG:$AG,"MANAJEMEN RUMAH SAKIT")</f>
        <v>0</v>
      </c>
      <c r="E71" s="8">
        <f>COUNTIFS([1]DATABASE!$G:$G,"AKTIF",[1]DATABASE!$AW:$AW,"APBD",[1]DATABASE!$AE:$AE,"S2",[1]DATABASE!$AG:$AG,"MANAJEMEN RUMAH SAKIT")</f>
        <v>1</v>
      </c>
      <c r="F71" s="8">
        <f>COUNTIFS([1]DATABASE!$G:$G,"AKTIF",[1]DATABASE!$AW:$AW,"BLUD",[1]DATABASE!$AE:$AE,"S2",[1]DATABASE!$AG:$AG,"MANAJEMEN RUMAH SAKIT")</f>
        <v>0</v>
      </c>
      <c r="G71" s="10">
        <f t="shared" si="12"/>
        <v>1</v>
      </c>
      <c r="H71" s="3"/>
      <c r="I71" s="8">
        <f>COUNTIFS([1]DATABASE!$G:$G,"AKTIF",[1]DATABASE!$N:$N,"Perempuan",[1]DATABASE!$AE:$AE,"S2",[1]DATABASE!$AG:$AG,"MANAJEMEN RUMAH SAKIT")</f>
        <v>0</v>
      </c>
      <c r="J71" s="8">
        <f>COUNTIFS([1]DATABASE!$G:$G,"AKTIF",[1]DATABASE!$N:$N,"Laki-Laki",[1]DATABASE!$AE:$AE,"S2",[1]DATABASE!$AG:$AG,"MANAJEMEN RUMAH SAKIT")</f>
        <v>1</v>
      </c>
      <c r="K71" s="8">
        <f t="shared" si="2"/>
        <v>1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8">
        <v>67</v>
      </c>
      <c r="B72" s="9" t="s">
        <v>72</v>
      </c>
      <c r="C72" s="8" t="s">
        <v>69</v>
      </c>
      <c r="D72" s="8">
        <f>COUNTIFS([1]DATABASE!$G:$G,"AKTIF",[1]DATABASE!$AW:$AW,"PNS",[1]DATABASE!$AE:$AE,"S1",[1]DATABASE!$AG:$AG,"ADMINISTRASI DAN KEBIJAKAN KESEHATAN")</f>
        <v>0</v>
      </c>
      <c r="E72" s="8">
        <f>COUNTIFS([1]DATABASE!$G:$G,"AKTIF",[1]DATABASE!$AW:$AW,"APBD",[1]DATABASE!$AE:$AE,"S1",[1]DATABASE!$AG:$AG,"ADMINISTRASI DAN KEBIJAKAN KESEHATAN")</f>
        <v>0</v>
      </c>
      <c r="F72" s="8">
        <f>COUNTIFS([1]DATABASE!$G:$G,"AKTIF",[1]DATABASE!$AW:$AW,"BLUD",[1]DATABASE!$AE:$AE,"S1",[1]DATABASE!$AG:$AG,"ADMINISTRASI DAN KEBIJAKAN KESEHATAN")</f>
        <v>0</v>
      </c>
      <c r="G72" s="10">
        <f t="shared" si="12"/>
        <v>0</v>
      </c>
      <c r="H72" s="3"/>
      <c r="I72" s="8">
        <f>COUNTIFS([1]DATABASE!$G:$G,"AKTIF",[1]DATABASE!$N:$N,"Perempuan",[1]DATABASE!$AE:$AE,"S1",[1]DATABASE!$AG:$AG,"ADMINISTRASI DAN KEBIJAKAN KESEHATAN")</f>
        <v>0</v>
      </c>
      <c r="J72" s="8">
        <f>COUNTIFS([1]DATABASE!$G:$G,"AKTIF",[1]DATABASE!$N:$N,"Laki-Laki",[1]DATABASE!$AE:$AE,"S1",[1]DATABASE!$AG:$AG,"ADMINISTRASI DAN KEBIJAKAN KESEHATAN")</f>
        <v>0</v>
      </c>
      <c r="K72" s="8">
        <f t="shared" si="2"/>
        <v>0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8">
        <v>68</v>
      </c>
      <c r="B73" s="9" t="s">
        <v>73</v>
      </c>
      <c r="C73" s="8" t="s">
        <v>69</v>
      </c>
      <c r="D73" s="8">
        <f>COUNTIFS([1]DATABASE!$G:$G,"AKTIF",[1]DATABASE!$AW:$AW,"PNS",[1]DATABASE!$AE:$AE,"S1",[1]DATABASE!$AG:$AG,"ADMINISTRASI PERKANTORAN DAN SEKRETARIS")</f>
        <v>0</v>
      </c>
      <c r="E73" s="8">
        <f>COUNTIFS([1]DATABASE!$G:$G,"AKTIF",[1]DATABASE!$AW:$AW,"APBD",[1]DATABASE!$AE:$AE,"S1",[1]DATABASE!$AG:$AG,"ADMINISTRASI PERKANTORAN DAN SEKRETARIS")</f>
        <v>1</v>
      </c>
      <c r="F73" s="8">
        <f>COUNTIFS([1]DATABASE!$G:$G,"AKTIF",[1]DATABASE!$AW:$AW,"BLUD",[1]DATABASE!$AE:$AE,"S1",[1]DATABASE!$AG:$AG,"ADMINISTRASI PERKANTORAN DAN SEKRETARIS")</f>
        <v>0</v>
      </c>
      <c r="G73" s="10">
        <f t="shared" si="12"/>
        <v>1</v>
      </c>
      <c r="H73" s="3"/>
      <c r="I73" s="8">
        <f>COUNTIFS([1]DATABASE!$G:$G,"AKTIF",[1]DATABASE!$N:$N,"Perempuan",[1]DATABASE!$AE:$AE,"S1",[1]DATABASE!$AG:$AG,"ADMINISTRASI PERKANTORAN DAN SEKRETARIS")</f>
        <v>1</v>
      </c>
      <c r="J73" s="8">
        <f>COUNTIFS([1]DATABASE!$G:$G,"AKTIF",[1]DATABASE!$N:$N,"Laki-Laki",[1]DATABASE!$AE:$AE,"S1",[1]DATABASE!$AG:$AG,"ADMINISTRASI PERKANTORAN DAN SEKRETARIS")</f>
        <v>0</v>
      </c>
      <c r="K73" s="8">
        <f t="shared" si="2"/>
        <v>1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8">
        <v>69</v>
      </c>
      <c r="B74" s="9" t="s">
        <v>74</v>
      </c>
      <c r="C74" s="8" t="s">
        <v>69</v>
      </c>
      <c r="D74" s="8">
        <f>COUNTIFS([1]DATABASE!$G:$G,"AKTIF",[1]DATABASE!$AW:$AW,"PNS",[1]DATABASE!$AE:$AE,"S1",[1]DATABASE!$AG:$AG,"ENTOMOLOGI")</f>
        <v>2</v>
      </c>
      <c r="E74" s="8">
        <f>COUNTIFS([1]DATABASE!$G:$G,"AKTIF",[1]DATABASE!$AW:$AW,"APBD",[1]DATABASE!$AE:$AE,"S1",[1]DATABASE!$AG:$AG,"ENTOMOLOGI")</f>
        <v>0</v>
      </c>
      <c r="F74" s="8">
        <f>COUNTIFS([1]DATABASE!$G:$G,"AKTIF",[1]DATABASE!$AW:$AW,"BLUD",[1]DATABASE!$AE:$AE,"S1",[1]DATABASE!$AG:$AG,"ENTOMOLOGI")</f>
        <v>0</v>
      </c>
      <c r="G74" s="10">
        <f t="shared" si="12"/>
        <v>2</v>
      </c>
      <c r="H74" s="3"/>
      <c r="I74" s="8">
        <f>COUNTIFS([1]DATABASE!$G:$G,"AKTIF",[1]DATABASE!$N:$N,"Perempuan",[1]DATABASE!$AE:$AE,"S1",[1]DATABASE!$AG:$AG,"ENTOMOLOGI")</f>
        <v>2</v>
      </c>
      <c r="J74" s="8">
        <f>COUNTIFS([1]DATABASE!$G:$G,"AKTIF",[1]DATABASE!$N:$N,"Laki-Laki",[1]DATABASE!$AE:$AE,"S1",[1]DATABASE!$AG:$AG,"ENTOMOLOGI")</f>
        <v>0</v>
      </c>
      <c r="K74" s="8">
        <f t="shared" si="2"/>
        <v>2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8">
        <v>70</v>
      </c>
      <c r="B75" s="9" t="s">
        <v>75</v>
      </c>
      <c r="C75" s="8" t="s">
        <v>69</v>
      </c>
      <c r="D75" s="8">
        <f>COUNTIFS([1]DATABASE!$G:$G,"AKTIF",[1]DATABASE!$AW:$AW,"PNS",[1]DATABASE!$AE:$AE,"S1",[1]DATABASE!$AG:$AG,"EPIDEMIOLOGI")</f>
        <v>4</v>
      </c>
      <c r="E75" s="8">
        <f>COUNTIFS([1]DATABASE!$G:$G,"AKTIF",[1]DATABASE!$AW:$AW,"APBD",[1]DATABASE!$AE:$AE,"S1",[1]DATABASE!$AG:$AG,"EPIDEMIOLOGI")</f>
        <v>0</v>
      </c>
      <c r="F75" s="8">
        <f>COUNTIFS([1]DATABASE!$G:$G,"AKTIF",[1]DATABASE!$AW:$AW,"BLUD",[1]DATABASE!$AE:$AE,"S1",[1]DATABASE!$AG:$AG,"EPIDEMIOLOGI")</f>
        <v>1</v>
      </c>
      <c r="G75" s="10">
        <f t="shared" si="12"/>
        <v>5</v>
      </c>
      <c r="H75" s="3"/>
      <c r="I75" s="8">
        <f>COUNTIFS([1]DATABASE!$G:$G,"AKTIF",[1]DATABASE!$N:$N,"Perempuan",[1]DATABASE!$AE:$AE,"S1",[1]DATABASE!$AG:$AG,"EPIDEMIOLOGI")</f>
        <v>5</v>
      </c>
      <c r="J75" s="8">
        <f>COUNTIFS([1]DATABASE!$G:$G,"AKTIF",[1]DATABASE!$N:$N,"Laki-Laki",[1]DATABASE!$AE:$AE,"S1",[1]DATABASE!$AG:$AG,"EPIDEMIOLOGI")</f>
        <v>0</v>
      </c>
      <c r="K75" s="8">
        <f t="shared" si="2"/>
        <v>5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8">
        <v>71</v>
      </c>
      <c r="B76" s="9" t="s">
        <v>76</v>
      </c>
      <c r="C76" s="8" t="s">
        <v>69</v>
      </c>
      <c r="D76" s="8">
        <f>COUNTIFS([1]DATABASE!$G:$G,"AKTIF",[1]DATABASE!$AW:$AW,"PNS",[1]DATABASE!$AE:$AE,"S1",[1]DATABASE!$AG:$AG,"KESEHATAN LINGKUNGAN")</f>
        <v>2</v>
      </c>
      <c r="E76" s="8">
        <f>COUNTIFS([1]DATABASE!$G:$G,"AKTIF",[1]DATABASE!$AW:$AW,"APBD",[1]DATABASE!$AE:$AE,"S1",[1]DATABASE!$AG:$AG,"KESEHATAN LINGKUNGAN")</f>
        <v>1</v>
      </c>
      <c r="F76" s="8">
        <f>COUNTIFS([1]DATABASE!$G:$G,"AKTIF",[1]DATABASE!$AW:$AW,"BLUD",[1]DATABASE!$AE:$AE,"S1",[1]DATABASE!$AG:$AG,"KESEHATAN LINGKUNGAN")</f>
        <v>0</v>
      </c>
      <c r="G76" s="10">
        <f t="shared" si="12"/>
        <v>3</v>
      </c>
      <c r="H76" s="3"/>
      <c r="I76" s="8">
        <f>COUNTIFS([1]DATABASE!$G:$G,"AKTIF",[1]DATABASE!$N:$N,"Perempuan",[1]DATABASE!$AE:$AE,"S1",[1]DATABASE!$AG:$AG,"KESEHATAN LINGKUNGAN")</f>
        <v>3</v>
      </c>
      <c r="J76" s="8">
        <f>COUNTIFS([1]DATABASE!$G:$G,"AKTIF",[1]DATABASE!$N:$N,"Laki-Laki",[1]DATABASE!$AE:$AE,"S1",[1]DATABASE!$AG:$AG,"KESEHATAN LINGKUNGAN")</f>
        <v>0</v>
      </c>
      <c r="K76" s="8">
        <f t="shared" si="2"/>
        <v>3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8">
        <v>72</v>
      </c>
      <c r="B77" s="9" t="s">
        <v>77</v>
      </c>
      <c r="C77" s="8" t="s">
        <v>69</v>
      </c>
      <c r="D77" s="8">
        <f>COUNTIFS([1]DATABASE!$G:$G,"AKTIF",[1]DATABASE!$AW:$AW,"PNS",[1]DATABASE!$AE:$AE,"S1",[1]DATABASE!$AG:$AG,"KESEHATAN MASYARAKAT")</f>
        <v>11</v>
      </c>
      <c r="E77" s="8">
        <f>COUNTIFS([1]DATABASE!$G:$G,"AKTIF",[1]DATABASE!$AW:$AW,"APBD",[1]DATABASE!$AE:$AE,"S1",[1]DATABASE!$AG:$AG,"KESEHATAN MASYARAKAT")</f>
        <v>3</v>
      </c>
      <c r="F77" s="8">
        <f>COUNTIFS([1]DATABASE!$G:$G,"AKTIF",[1]DATABASE!$AW:$AW,"BLUD",[1]DATABASE!$AE:$AE,"S1",[1]DATABASE!$AG:$AG,"KESEHATAN MASYARAKAT")</f>
        <v>0</v>
      </c>
      <c r="G77" s="10">
        <f t="shared" si="12"/>
        <v>14</v>
      </c>
      <c r="H77" s="3"/>
      <c r="I77" s="8">
        <f>COUNTIFS([1]DATABASE!$G:$G,"AKTIF",[1]DATABASE!$N:$N,"Perempuan",[1]DATABASE!$AE:$AE,"S1",[1]DATABASE!$AG:$AG,"KESEHATAN MASYARAKAT")</f>
        <v>11</v>
      </c>
      <c r="J77" s="8">
        <f>COUNTIFS([1]DATABASE!$G:$G,"AKTIF",[1]DATABASE!$N:$N,"Laki-Laki",[1]DATABASE!$AE:$AE,"S1",[1]DATABASE!$AG:$AG,"KESEHATAN MASYARAKAT")</f>
        <v>3</v>
      </c>
      <c r="K77" s="8">
        <f t="shared" si="2"/>
        <v>14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8">
        <v>73</v>
      </c>
      <c r="B78" s="9" t="s">
        <v>78</v>
      </c>
      <c r="C78" s="8" t="s">
        <v>69</v>
      </c>
      <c r="D78" s="8">
        <f>COUNTIFS([1]DATABASE!$G:$G,"AKTIF",[1]DATABASE!$AW:$AW,"PNS",[1]DATABASE!$AE:$AE,"S1",[1]DATABASE!$AG:$AG,"ILMU KESEHATAN MASYARAKAT")</f>
        <v>2</v>
      </c>
      <c r="E78" s="8">
        <f>COUNTIFS([1]DATABASE!$G:$G,"AKTIF",[1]DATABASE!$AW:$AW,"APBD",[1]DATABASE!$AE:$AE,"S1",[1]DATABASE!$AG:$AG,"ILMU KESEHATAN MASYARAKAT")</f>
        <v>1</v>
      </c>
      <c r="F78" s="8">
        <f>COUNTIFS([1]DATABASE!$G:$G,"AKTIF",[1]DATABASE!$AW:$AW,"BLUD",[1]DATABASE!$AE:$AE,"S1",[1]DATABASE!$AG:$AG,"ILMU KESEHATAN MASYARAKAT")</f>
        <v>0</v>
      </c>
      <c r="G78" s="10">
        <f t="shared" si="12"/>
        <v>3</v>
      </c>
      <c r="H78" s="3"/>
      <c r="I78" s="8">
        <f>COUNTIFS([1]DATABASE!$G:$G,"AKTIF",[1]DATABASE!$N:$N,"Perempuan",[1]DATABASE!$AE:$AE,"S1",[1]DATABASE!$AG:$AG,"ILMU KESEHATAN MASYARAKAT")</f>
        <v>3</v>
      </c>
      <c r="J78" s="8">
        <f>COUNTIFS([1]DATABASE!$G:$G,"AKTIF",[1]DATABASE!$N:$N,"Laki-Laki",[1]DATABASE!$AE:$AE,"S1",[1]DATABASE!$AG:$AG,"ILMU KESEHATAN MASYARAKAT")</f>
        <v>0</v>
      </c>
      <c r="K78" s="8">
        <f t="shared" si="2"/>
        <v>3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8">
        <v>74</v>
      </c>
      <c r="B79" s="9" t="s">
        <v>79</v>
      </c>
      <c r="C79" s="8" t="s">
        <v>69</v>
      </c>
      <c r="D79" s="8">
        <f>COUNTIFS([1]DATABASE!$G:$G,"AKTIF",[1]DATABASE!$AW:$AW,"PNS",[1]DATABASE!$AE:$AE,"S1",[1]DATABASE!$AG:$AG,"KESEHATAN REPRODUKSI")</f>
        <v>0</v>
      </c>
      <c r="E79" s="8">
        <f>COUNTIFS([1]DATABASE!$G:$G,"AKTIF",[1]DATABASE!$AW:$AW,"APBD",[1]DATABASE!$AE:$AE,"S1",[1]DATABASE!$AG:$AG,"KESEHATAN REPRODUKSI")</f>
        <v>1</v>
      </c>
      <c r="F79" s="8">
        <f>COUNTIFS([1]DATABASE!$G:$G,"AKTIF",[1]DATABASE!$AW:$AW,"BLUD",[1]DATABASE!$AE:$AE,"S1",[1]DATABASE!$AG:$AG,"KESEHATAN REPRODUKSI")</f>
        <v>0</v>
      </c>
      <c r="G79" s="10">
        <f t="shared" si="12"/>
        <v>1</v>
      </c>
      <c r="H79" s="3"/>
      <c r="I79" s="8">
        <f>COUNTIFS([1]DATABASE!$G:$G,"AKTIF",[1]DATABASE!$N:$N,"Perempuan",[1]DATABASE!$AE:$AE,"S1",[1]DATABASE!$AG:$AG,"KESEHATAN REPRODUKSI")</f>
        <v>1</v>
      </c>
      <c r="J79" s="8">
        <f>COUNTIFS([1]DATABASE!$G:$G,"AKTIF",[1]DATABASE!$N:$N,"Laki-Laki",[1]DATABASE!$AE:$AE,"S1",[1]DATABASE!$AG:$AG,"KESEHATAN REPRODUKSI")</f>
        <v>0</v>
      </c>
      <c r="K79" s="8">
        <f t="shared" si="2"/>
        <v>1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8">
        <v>75</v>
      </c>
      <c r="B80" s="9" t="s">
        <v>80</v>
      </c>
      <c r="C80" s="8" t="s">
        <v>69</v>
      </c>
      <c r="D80" s="8">
        <f>COUNTIFS([1]DATABASE!$G:$G,"AKTIF",[1]DATABASE!$AW:$AW,"PNS",[1]DATABASE!$AE:$AE,"S1",[1]DATABASE!$AG:$AG,"PROMOSI KESEHATAN")</f>
        <v>3</v>
      </c>
      <c r="E80" s="8">
        <f>COUNTIFS([1]DATABASE!$G:$G,"AKTIF",[1]DATABASE!$AW:$AW,"APBD",[1]DATABASE!$AE:$AE,"S1",[1]DATABASE!$AG:$AG,"PROMOSI KESEHATAN")</f>
        <v>0</v>
      </c>
      <c r="F80" s="8">
        <f>COUNTIFS([1]DATABASE!$G:$G,"AKTIF",[1]DATABASE!$AW:$AW,"BLUD",[1]DATABASE!$AE:$AE,"S1",[1]DATABASE!$AG:$AG,"PROMOSI KESEHATAN")</f>
        <v>0</v>
      </c>
      <c r="G80" s="10">
        <f t="shared" si="12"/>
        <v>3</v>
      </c>
      <c r="H80" s="3"/>
      <c r="I80" s="8">
        <f>COUNTIFS([1]DATABASE!$G:$G,"AKTIF",[1]DATABASE!$N:$N,"Perempuan",[1]DATABASE!$AE:$AE,"S1",[1]DATABASE!$AG:$AG,"PROMOSI KESEHATAN")</f>
        <v>1</v>
      </c>
      <c r="J80" s="8">
        <f>COUNTIFS([1]DATABASE!$G:$G,"AKTIF",[1]DATABASE!$N:$N,"Laki-Laki",[1]DATABASE!$AE:$AE,"S1",[1]DATABASE!$AG:$AG,"PROMOSI KESEHATAN")</f>
        <v>2</v>
      </c>
      <c r="K80" s="8">
        <f t="shared" si="2"/>
        <v>3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8">
        <v>76</v>
      </c>
      <c r="B81" s="9" t="s">
        <v>81</v>
      </c>
      <c r="C81" s="8" t="s">
        <v>69</v>
      </c>
      <c r="D81" s="8">
        <f>COUNTIFS([1]DATABASE!$G:$G,"AKTIF",[1]DATABASE!$AW:$AW,"PNS",[1]DATABASE!$AE:$AE,"S1",[1]DATABASE!$AG:$AG,"MANAJEMEN RUMAH SAKIT")</f>
        <v>0</v>
      </c>
      <c r="E81" s="8">
        <f>COUNTIFS([1]DATABASE!$G:$G,"AKTIF",[1]DATABASE!$AW:$AW,"APBD",[1]DATABASE!$AE:$AE,"S1",[1]DATABASE!$AG:$AG,"MANAJEMEN RUMAH SAKIT")</f>
        <v>0</v>
      </c>
      <c r="F81" s="8">
        <f>COUNTIFS([1]DATABASE!$G:$G,"AKTIF",[1]DATABASE!$AW:$AW,"BLUD",[1]DATABASE!$AE:$AE,"S1",[1]DATABASE!$AG:$AG,"MANAJEMEN RUMAH SAKIT")</f>
        <v>0</v>
      </c>
      <c r="G81" s="10">
        <f t="shared" si="12"/>
        <v>0</v>
      </c>
      <c r="H81" s="3"/>
      <c r="I81" s="8">
        <f>COUNTIFS([1]DATABASE!$G:$G,"AKTIF",[1]DATABASE!$N:$N,"Perempuan",[1]DATABASE!$AE:$AE,"S1",[1]DATABASE!$AG:$AG,"MANAJEMEN RUMAH SAKIT")</f>
        <v>0</v>
      </c>
      <c r="J81" s="8">
        <f>COUNTIFS([1]DATABASE!$G:$G,"AKTIF",[1]DATABASE!$N:$N,"Laki-Laki",[1]DATABASE!$AE:$AE,"S1",[1]DATABASE!$AG:$AG,"MANAJEMEN RUMAH SAKIT")</f>
        <v>0</v>
      </c>
      <c r="K81" s="8">
        <f t="shared" si="2"/>
        <v>0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5" t="s">
        <v>82</v>
      </c>
      <c r="B82" s="6"/>
      <c r="C82" s="6"/>
      <c r="D82" s="7">
        <f t="shared" ref="D82:G82" si="13">SUM(D83:D90)</f>
        <v>92</v>
      </c>
      <c r="E82" s="7">
        <f t="shared" si="13"/>
        <v>105</v>
      </c>
      <c r="F82" s="7">
        <f t="shared" si="13"/>
        <v>33</v>
      </c>
      <c r="G82" s="7">
        <f t="shared" si="13"/>
        <v>230</v>
      </c>
      <c r="H82" s="3"/>
      <c r="I82" s="7">
        <f t="shared" ref="I82:J82" si="14">SUM(I83:I90)</f>
        <v>179</v>
      </c>
      <c r="J82" s="7">
        <f t="shared" si="14"/>
        <v>51</v>
      </c>
      <c r="K82" s="7">
        <f t="shared" si="2"/>
        <v>230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8">
        <v>77</v>
      </c>
      <c r="B83" s="9" t="s">
        <v>83</v>
      </c>
      <c r="C83" s="8" t="s">
        <v>84</v>
      </c>
      <c r="D83" s="8">
        <f>COUNTIFS([1]DATABASE!$G:$G,"AKTIF",[1]DATABASE!$AW:$AW,"PNS",[1]DATABASE!$AE:$AE,"S1 + Profesi",[1]DATABASE!$AG:$AG,"NERS")</f>
        <v>53</v>
      </c>
      <c r="E83" s="8">
        <f>COUNTIFS([1]DATABASE!$G:$G,"AKTIF",[1]DATABASE!$AW:$AW,"APBD",[1]DATABASE!$AE:$AE,"S1 + Profesi",[1]DATABASE!$AG:$AG,"NERS")</f>
        <v>44</v>
      </c>
      <c r="F83" s="8">
        <f>COUNTIFS([1]DATABASE!$G:$G,"AKTIF",[1]DATABASE!$AW:$AW,"BLUD",[1]DATABASE!$AE:$AE,"S1 + Profesi",[1]DATABASE!$AG:$AG,"NERS")</f>
        <v>16</v>
      </c>
      <c r="G83" s="10">
        <f t="shared" ref="G83:G90" si="15">SUM(D83:F83)</f>
        <v>113</v>
      </c>
      <c r="H83" s="3"/>
      <c r="I83" s="8">
        <f>COUNTIFS([1]DATABASE!$G:$G,"AKTIF",[1]DATABASE!$N:$N,"Perempuan",[1]DATABASE!$AE:$AE,"S1 + Profesi",[1]DATABASE!$AG:$AG,"NERS")</f>
        <v>95</v>
      </c>
      <c r="J83" s="8">
        <f>COUNTIFS([1]DATABASE!$G:$G,"AKTIF",[1]DATABASE!$N:$N,"Laki-Laki",[1]DATABASE!$AE:$AE,"S1 + Profesi",[1]DATABASE!$AG:$AG,"NERS")</f>
        <v>18</v>
      </c>
      <c r="K83" s="8">
        <f t="shared" si="2"/>
        <v>113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8">
        <v>78</v>
      </c>
      <c r="B84" s="9" t="s">
        <v>85</v>
      </c>
      <c r="C84" s="8" t="s">
        <v>69</v>
      </c>
      <c r="D84" s="8">
        <f>COUNTIFS([1]DATABASE!$G:$G,"AKTIF",[1]DATABASE!$AW:$AW,"PNS",[1]DATABASE!$AE:$AE,"S1",[1]DATABASE!$AG:$AG,"KEPERAWATAN")</f>
        <v>4</v>
      </c>
      <c r="E84" s="8">
        <f>COUNTIFS([1]DATABASE!$G:$G,"AKTIF",[1]DATABASE!$AW:$AW,"APBD",[1]DATABASE!$AE:$AE,"S1",[1]DATABASE!$AG:$AG,"KEPERAWATAN")</f>
        <v>5</v>
      </c>
      <c r="F84" s="8">
        <f>COUNTIFS([1]DATABASE!$G:$G,"AKTIF",[1]DATABASE!$AW:$AW,"BLUD",[1]DATABASE!$AE:$AE,"S1",[1]DATABASE!$AG:$AG,"KEPERAWATAN")</f>
        <v>0</v>
      </c>
      <c r="G84" s="10">
        <f t="shared" si="15"/>
        <v>9</v>
      </c>
      <c r="H84" s="3"/>
      <c r="I84" s="8">
        <f>COUNTIFS([1]DATABASE!$G:$G,"AKTIF",[1]DATABASE!$N:$N,"Perempuan",[1]DATABASE!$AE:$AE,"S1",[1]DATABASE!$AG:$AG,"KEPERAWATAN")</f>
        <v>7</v>
      </c>
      <c r="J84" s="8">
        <f>COUNTIFS([1]DATABASE!$G:$G,"AKTIF",[1]DATABASE!$N:$N,"Laki-Laki",[1]DATABASE!$AE:$AE,"S1",[1]DATABASE!$AG:$AG,"KEPERAWATAN")</f>
        <v>2</v>
      </c>
      <c r="K84" s="8">
        <f t="shared" si="2"/>
        <v>9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8">
        <v>79</v>
      </c>
      <c r="B85" s="9" t="s">
        <v>85</v>
      </c>
      <c r="C85" s="8" t="s">
        <v>86</v>
      </c>
      <c r="D85" s="8">
        <f>COUNTIFS([1]DATABASE!$G:$G,"AKTIF",[1]DATABASE!$AW:$AW,"PNS",[1]DATABASE!$AE:$AE,"D4",[1]DATABASE!$AG:$AG,"KEPERAWATAN")</f>
        <v>0</v>
      </c>
      <c r="E85" s="8">
        <f>COUNTIFS([1]DATABASE!$G:$G,"AKTIF",[1]DATABASE!$AW:$AW,"APBD",[1]DATABASE!$AE:$AE,"D4",[1]DATABASE!$AG:$AG,"KEPERAWATAN")</f>
        <v>0</v>
      </c>
      <c r="F85" s="8">
        <f>COUNTIFS([1]DATABASE!$G:$G,"AKTIF",[1]DATABASE!$AW:$AW,"BLUD",[1]DATABASE!$AE:$AE,"D4",[1]DATABASE!$AG:$AG,"KEPERAWATAN")</f>
        <v>1</v>
      </c>
      <c r="G85" s="10">
        <f t="shared" si="15"/>
        <v>1</v>
      </c>
      <c r="H85" s="3"/>
      <c r="I85" s="8">
        <f>COUNTIFS([1]DATABASE!$G:$G,"AKTIF",[1]DATABASE!$N:$N,"Perempuan",[1]DATABASE!$AE:$AE,"D4",[1]DATABASE!$AG:$AG,"KEPERAWATAN")</f>
        <v>0</v>
      </c>
      <c r="J85" s="8">
        <f>COUNTIFS([1]DATABASE!$G:$G,"AKTIF",[1]DATABASE!$N:$N,"Laki-Laki",[1]DATABASE!$AE:$AE,"D4",[1]DATABASE!$AG:$AG,"KEPERAWATAN")</f>
        <v>1</v>
      </c>
      <c r="K85" s="8">
        <f t="shared" si="2"/>
        <v>1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8">
        <v>80</v>
      </c>
      <c r="B86" s="9" t="s">
        <v>87</v>
      </c>
      <c r="C86" s="8" t="s">
        <v>86</v>
      </c>
      <c r="D86" s="8">
        <f>COUNTIFS([1]DATABASE!$G:$G,"AKTIF",[1]DATABASE!$AW:$AW,"PNS",[1]DATABASE!$AE:$AE,"D4",[1]DATABASE!$AG:$AG,"KEPERAWATAN PENDIDIK")</f>
        <v>1</v>
      </c>
      <c r="E86" s="8">
        <f>COUNTIFS([1]DATABASE!$G:$G,"AKTIF",[1]DATABASE!$AW:$AW,"APBD",[1]DATABASE!$AE:$AE,"D4",[1]DATABASE!$AG:$AG,"KEPERAWATAN PENDIDIK")</f>
        <v>0</v>
      </c>
      <c r="F86" s="8">
        <f>COUNTIFS([1]DATABASE!$G:$G,"AKTIF",[1]DATABASE!$AW:$AW,"BLUD",[1]DATABASE!$AE:$AE,"D4",[1]DATABASE!$AG:$AG,"KEPERAWATAN PENDIDIK")</f>
        <v>0</v>
      </c>
      <c r="G86" s="10">
        <f t="shared" si="15"/>
        <v>1</v>
      </c>
      <c r="H86" s="3"/>
      <c r="I86" s="8">
        <f>COUNTIFS([1]DATABASE!$G:$G,"AKTIF",[1]DATABASE!$N:$N,"Perempuan",[1]DATABASE!$AE:$AE,"D4",[1]DATABASE!$AG:$AG,"KEPERAWATAN PENDIDIK")</f>
        <v>1</v>
      </c>
      <c r="J86" s="8">
        <f>COUNTIFS([1]DATABASE!$G:$G,"AKTIF",[1]DATABASE!$N:$N,"Laki-Laki",[1]DATABASE!$AE:$AE,"D4",[1]DATABASE!$AG:$AG,"KEPERAWATAN PENDIDIK")</f>
        <v>0</v>
      </c>
      <c r="K86" s="8">
        <f t="shared" si="2"/>
        <v>1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8">
        <v>81</v>
      </c>
      <c r="B87" s="9" t="s">
        <v>88</v>
      </c>
      <c r="C87" s="8" t="s">
        <v>86</v>
      </c>
      <c r="D87" s="8">
        <f>COUNTIFS([1]DATABASE!$G:$G,"AKTIF",[1]DATABASE!$AW:$AW,"PNS",[1]DATABASE!$AE:$AE,"D4",[1]DATABASE!$AG:$AG,"KEPERAWATAN ANASTESI")</f>
        <v>0</v>
      </c>
      <c r="E87" s="8">
        <f>COUNTIFS([1]DATABASE!$G:$G,"AKTIF",[1]DATABASE!$AW:$AW,"APBD",[1]DATABASE!$AE:$AE,"D4",[1]DATABASE!$AG:$AG,"KEPERAWATAN ANASTESI")</f>
        <v>1</v>
      </c>
      <c r="F87" s="8">
        <f>COUNTIFS([1]DATABASE!$G:$G,"AKTIF",[1]DATABASE!$AW:$AW,"BLUD",[1]DATABASE!$AE:$AE,"D4",[1]DATABASE!$AG:$AG,"KEPERAWATAN ANASTESI")</f>
        <v>0</v>
      </c>
      <c r="G87" s="10">
        <f t="shared" si="15"/>
        <v>1</v>
      </c>
      <c r="H87" s="3"/>
      <c r="I87" s="8">
        <f>COUNTIFS([1]DATABASE!$G:$G,"AKTIF",[1]DATABASE!$N:$N,"Perempuan",[1]DATABASE!$AE:$AE,"D4",[1]DATABASE!$AG:$AG,"KEPERAWATAN ANASTESI")</f>
        <v>0</v>
      </c>
      <c r="J87" s="8">
        <f>COUNTIFS([1]DATABASE!$G:$G,"AKTIF",[1]DATABASE!$N:$N,"Laki-Laki",[1]DATABASE!$AE:$AE,"D4",[1]DATABASE!$AG:$AG,"KEPERAWATAN ANASTESI")</f>
        <v>1</v>
      </c>
      <c r="K87" s="8">
        <f t="shared" si="2"/>
        <v>1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8">
        <v>82</v>
      </c>
      <c r="B88" s="9" t="s">
        <v>85</v>
      </c>
      <c r="C88" s="8" t="s">
        <v>89</v>
      </c>
      <c r="D88" s="8">
        <f>COUNTIFS([1]DATABASE!$G:$G,"AKTIF",[1]DATABASE!$AW:$AW,"PNS",[1]DATABASE!$AE:$AE,"D3",[1]DATABASE!$AG:$AG,"KEPERAWATAN")</f>
        <v>33</v>
      </c>
      <c r="E88" s="8">
        <f>COUNTIFS([1]DATABASE!$G:$G,"AKTIF",[1]DATABASE!$AW:$AW,"APBD",[1]DATABASE!$AE:$AE,"D3",[1]DATABASE!$AG:$AG,"KEPERAWATAN")</f>
        <v>55</v>
      </c>
      <c r="F88" s="8">
        <f>COUNTIFS([1]DATABASE!$G:$G,"AKTIF",[1]DATABASE!$AW:$AW,"BLUD",[1]DATABASE!$AE:$AE,"D3",[1]DATABASE!$AG:$AG,"KEPERAWATAN")</f>
        <v>14</v>
      </c>
      <c r="G88" s="10">
        <f t="shared" si="15"/>
        <v>102</v>
      </c>
      <c r="H88" s="3"/>
      <c r="I88" s="8">
        <f>COUNTIFS([1]DATABASE!$G:$G,"AKTIF",[1]DATABASE!$N:$N,"Perempuan",[1]DATABASE!$AE:$AE,"D3",[1]DATABASE!$AG:$AG,"KEPERAWATAN")</f>
        <v>74</v>
      </c>
      <c r="J88" s="8">
        <f>COUNTIFS([1]DATABASE!$G:$G,"AKTIF",[1]DATABASE!$N:$N,"Laki-Laki",[1]DATABASE!$AE:$AE,"D3",[1]DATABASE!$AG:$AG,"KEPERAWATAN")</f>
        <v>28</v>
      </c>
      <c r="K88" s="8">
        <f t="shared" si="2"/>
        <v>102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8">
        <v>83</v>
      </c>
      <c r="B89" s="9" t="s">
        <v>90</v>
      </c>
      <c r="C89" s="8" t="s">
        <v>89</v>
      </c>
      <c r="D89" s="8">
        <f>COUNTIFS([1]DATABASE!$G:$G,"AKTIF",[1]DATABASE!$AW:$AW,"PNS",[1]DATABASE!$AE:$AE,"D3",[1]DATABASE!$AG:$AG,"KEPERAWATAN GIGI")</f>
        <v>1</v>
      </c>
      <c r="E89" s="8">
        <f>COUNTIFS([1]DATABASE!$G:$G,"AKTIF",[1]DATABASE!$AW:$AW,"APBD",[1]DATABASE!$AE:$AE,"D3",[1]DATABASE!$AG:$AG,"KEPERAWATAN GIGI")</f>
        <v>0</v>
      </c>
      <c r="F89" s="8">
        <f>COUNTIFS([1]DATABASE!$G:$G,"AKTIF",[1]DATABASE!$AW:$AW,"BLUD",[1]DATABASE!$AE:$AE,"D3",[1]DATABASE!$AG:$AG,"KEPERAWATAN GIGI")</f>
        <v>1</v>
      </c>
      <c r="G89" s="10">
        <f t="shared" si="15"/>
        <v>2</v>
      </c>
      <c r="H89" s="3"/>
      <c r="I89" s="8">
        <f>COUNTIFS([1]DATABASE!$G:$G,"AKTIF",[1]DATABASE!$N:$N,"Perempuan",[1]DATABASE!$AE:$AE,"D3",[1]DATABASE!$AG:$AG,"KEPERAWATAN GIGI")</f>
        <v>2</v>
      </c>
      <c r="J89" s="8">
        <f>COUNTIFS([1]DATABASE!$G:$G,"AKTIF",[1]DATABASE!$N:$N,"Laki-Laki",[1]DATABASE!$AE:$AE,"D3",[1]DATABASE!$AG:$AG,"KEPERAWATAN GIGI")</f>
        <v>0</v>
      </c>
      <c r="K89" s="8">
        <f t="shared" si="2"/>
        <v>2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8">
        <v>84</v>
      </c>
      <c r="B90" s="9" t="s">
        <v>91</v>
      </c>
      <c r="C90" s="8" t="s">
        <v>92</v>
      </c>
      <c r="D90" s="8">
        <f>COUNTIFS([1]DATABASE!$G:$G,"AKTIF",[1]DATABASE!$AW:$AW,"PNS",[1]DATABASE!$AE:$AE,"SMA",[1]DATABASE!$AG:$AG,"SPK")</f>
        <v>0</v>
      </c>
      <c r="E90" s="8">
        <f>COUNTIFS([1]DATABASE!$G:$G,"AKTIF",[1]DATABASE!$AW:$AW,"APBD",[1]DATABASE!$AE:$AE,"SMA",[1]DATABASE!$AG:$AG,"SPK")</f>
        <v>0</v>
      </c>
      <c r="F90" s="8">
        <f>COUNTIFS([1]DATABASE!$G:$G,"AKTIF",[1]DATABASE!$AW:$AW,"BLUD",[1]DATABASE!$AE:$AE,"SMA",[1]DATABASE!$AG:$AG,"SPK")</f>
        <v>1</v>
      </c>
      <c r="G90" s="10">
        <f t="shared" si="15"/>
        <v>1</v>
      </c>
      <c r="H90" s="3"/>
      <c r="I90" s="8">
        <f>COUNTIFS([1]DATABASE!$G:$G,"AKTIF",[1]DATABASE!$N:$N,"Perempuan",[1]DATABASE!$AE:$AE,"SMA",[1]DATABASE!$AG:$AG,"SPK")</f>
        <v>0</v>
      </c>
      <c r="J90" s="8">
        <f>COUNTIFS([1]DATABASE!$G:$G,"AKTIF",[1]DATABASE!$N:$N,"Laki-Laki",[1]DATABASE!$AE:$AE,"SMA",[1]DATABASE!$AG:$AG,"SPK")</f>
        <v>1</v>
      </c>
      <c r="K90" s="8">
        <f t="shared" si="2"/>
        <v>1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5" t="s">
        <v>93</v>
      </c>
      <c r="B91" s="6"/>
      <c r="C91" s="6"/>
      <c r="D91" s="7">
        <f t="shared" ref="D91:G91" si="16">SUM(D92:D95)</f>
        <v>8</v>
      </c>
      <c r="E91" s="7">
        <f t="shared" si="16"/>
        <v>36</v>
      </c>
      <c r="F91" s="7">
        <f t="shared" si="16"/>
        <v>0</v>
      </c>
      <c r="G91" s="7">
        <f t="shared" si="16"/>
        <v>44</v>
      </c>
      <c r="H91" s="3"/>
      <c r="I91" s="7">
        <f t="shared" ref="I91:J91" si="17">SUM(I92:I95)</f>
        <v>44</v>
      </c>
      <c r="J91" s="7">
        <f t="shared" si="17"/>
        <v>0</v>
      </c>
      <c r="K91" s="7">
        <f t="shared" si="2"/>
        <v>44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8">
        <v>85</v>
      </c>
      <c r="B92" s="9" t="s">
        <v>94</v>
      </c>
      <c r="C92" s="8" t="s">
        <v>69</v>
      </c>
      <c r="D92" s="8">
        <f>COUNTIFS([1]DATABASE!$G:$G,"AKTIF",[1]DATABASE!$AW:$AW,"PNS",[1]DATABASE!$AE:$AE,"S1",[1]DATABASE!$AG:$AG,"KEBIDANAN")</f>
        <v>1</v>
      </c>
      <c r="E92" s="8">
        <f>COUNTIFS([1]DATABASE!$G:$G,"AKTIF",[1]DATABASE!$AW:$AW,"APBD",[1]DATABASE!$AE:$AE,"S1",[1]DATABASE!$AG:$AG,"KEBIDANAN")</f>
        <v>0</v>
      </c>
      <c r="F92" s="8">
        <f>COUNTIFS([1]DATABASE!$G:$G,"AKTIF",[1]DATABASE!$AW:$AW,"BLUD",[1]DATABASE!$AE:$AE,"S1",[1]DATABASE!$AG:$AG,"KEBIDANAN")</f>
        <v>0</v>
      </c>
      <c r="G92" s="10">
        <f t="shared" ref="G92:G95" si="18">SUM(D92:F92)</f>
        <v>1</v>
      </c>
      <c r="H92" s="3"/>
      <c r="I92" s="8">
        <f>COUNTIFS([1]DATABASE!$G:$G,"AKTIF",[1]DATABASE!$N:$N,"Perempuan",[1]DATABASE!$AE:$AE,"S1",[1]DATABASE!$AG:$AG,"KEBIDANAN")</f>
        <v>1</v>
      </c>
      <c r="J92" s="8">
        <f>COUNTIFS([1]DATABASE!$G:$G,"AKTIF",[1]DATABASE!$N:$N,"Laki-Laki",[1]DATABASE!$AE:$AE,"S1",[1]DATABASE!$AG:$AG,"KEBIDANAN")</f>
        <v>0</v>
      </c>
      <c r="K92" s="8">
        <f t="shared" si="2"/>
        <v>1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8">
        <v>86</v>
      </c>
      <c r="B93" s="9" t="s">
        <v>94</v>
      </c>
      <c r="C93" s="8" t="s">
        <v>86</v>
      </c>
      <c r="D93" s="8">
        <f>COUNTIFS([1]DATABASE!$G:$G,"AKTIF",[1]DATABASE!$AW:$AW,"PNS",[1]DATABASE!$AE:$AE,"D4",[1]DATABASE!$AG:$AG,"KEBIDANAN")</f>
        <v>0</v>
      </c>
      <c r="E93" s="8">
        <f>COUNTIFS([1]DATABASE!$G:$G,"AKTIF",[1]DATABASE!$AW:$AW,"APBD",[1]DATABASE!$AE:$AE,"D4",[1]DATABASE!$AG:$AG,"KEBIDANAN")</f>
        <v>0</v>
      </c>
      <c r="F93" s="8">
        <f>COUNTIFS([1]DATABASE!$G:$G,"AKTIF",[1]DATABASE!$AW:$AW,"BLUD",[1]DATABASE!$AE:$AE,"D4",[1]DATABASE!$AG:$AG,"KEBIDANAN")</f>
        <v>0</v>
      </c>
      <c r="G93" s="10">
        <f t="shared" si="18"/>
        <v>0</v>
      </c>
      <c r="H93" s="3"/>
      <c r="I93" s="8">
        <f>COUNTIFS([1]DATABASE!$G:$G,"AKTIF",[1]DATABASE!$N:$N,"Perempuan",[1]DATABASE!$AE:$AE,"D4",[1]DATABASE!$AG:$AG,"KEBIDANAN")</f>
        <v>0</v>
      </c>
      <c r="J93" s="8">
        <f>COUNTIFS([1]DATABASE!$G:$G,"AKTIF",[1]DATABASE!$N:$N,"Laki-Laki",[1]DATABASE!$AE:$AE,"D4",[1]DATABASE!$AG:$AG,"KEBIDANAN")</f>
        <v>0</v>
      </c>
      <c r="K93" s="8">
        <f t="shared" si="2"/>
        <v>0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8">
        <v>87</v>
      </c>
      <c r="B94" s="9" t="s">
        <v>95</v>
      </c>
      <c r="C94" s="8" t="s">
        <v>86</v>
      </c>
      <c r="D94" s="8">
        <f>COUNTIFS([1]DATABASE!$G:$G,"AKTIF",[1]DATABASE!$AW:$AW,"PNS",[1]DATABASE!$AE:$AE,"D4",[1]DATABASE!$AG:$AG,"BIDAN PENDIDIK")</f>
        <v>1</v>
      </c>
      <c r="E94" s="8">
        <f>COUNTIFS([1]DATABASE!$G:$G,"AKTIF",[1]DATABASE!$AW:$AW,"APBD",[1]DATABASE!$AE:$AE,"D4",[1]DATABASE!$AG:$AG,"BIDAN PENDIDIK")</f>
        <v>0</v>
      </c>
      <c r="F94" s="8">
        <f>COUNTIFS([1]DATABASE!$G:$G,"AKTIF",[1]DATABASE!$AW:$AW,"BLUD",[1]DATABASE!$AE:$AE,"D4",[1]DATABASE!$AG:$AG,"BIDAN PENDIDIK")</f>
        <v>0</v>
      </c>
      <c r="G94" s="10">
        <f t="shared" si="18"/>
        <v>1</v>
      </c>
      <c r="H94" s="3"/>
      <c r="I94" s="8">
        <f>COUNTIFS([1]DATABASE!$G:$G,"AKTIF",[1]DATABASE!$N:$N,"Perempuan",[1]DATABASE!$AE:$AE,"D4",[1]DATABASE!$AG:$AG,"BIDAN PENDIDIK")</f>
        <v>1</v>
      </c>
      <c r="J94" s="8">
        <f>COUNTIFS([1]DATABASE!$G:$G,"AKTIF",[1]DATABASE!$N:$N,"Laki-Laki",[1]DATABASE!$AE:$AE,"D4",[1]DATABASE!$AG:$AG,"BIDAN PENDIDIK")</f>
        <v>0</v>
      </c>
      <c r="K94" s="8">
        <f t="shared" si="2"/>
        <v>1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8">
        <v>88</v>
      </c>
      <c r="B95" s="9" t="s">
        <v>94</v>
      </c>
      <c r="C95" s="8" t="s">
        <v>89</v>
      </c>
      <c r="D95" s="8">
        <f>COUNTIFS([1]DATABASE!$G:$G,"AKTIF",[1]DATABASE!$AW:$AW,"PNS",[1]DATABASE!$AE:$AE,"D3",[1]DATABASE!$AG:$AG,"KEBIDANAN")</f>
        <v>6</v>
      </c>
      <c r="E95" s="8">
        <f>COUNTIFS([1]DATABASE!$G:$G,"AKTIF",[1]DATABASE!$AW:$AW,"APBD",[1]DATABASE!$AE:$AE,"D3",[1]DATABASE!$AG:$AG,"KEBIDANAN")</f>
        <v>36</v>
      </c>
      <c r="F95" s="8">
        <f>COUNTIFS([1]DATABASE!$G:$G,"AKTIF",[1]DATABASE!$AW:$AW,"BLUD",[1]DATABASE!$AE:$AE,"D3",[1]DATABASE!$AG:$AG,"KEBIDANAN")</f>
        <v>0</v>
      </c>
      <c r="G95" s="10">
        <f t="shared" si="18"/>
        <v>42</v>
      </c>
      <c r="H95" s="3"/>
      <c r="I95" s="8">
        <f>COUNTIFS([1]DATABASE!$G:$G,"AKTIF",[1]DATABASE!$N:$N,"Perempuan",[1]DATABASE!$AE:$AE,"D3",[1]DATABASE!$AG:$AG,"KEBIDANAN")</f>
        <v>42</v>
      </c>
      <c r="J95" s="8">
        <f>COUNTIFS([1]DATABASE!$G:$G,"AKTIF",[1]DATABASE!$N:$N,"Laki-Laki",[1]DATABASE!$AE:$AE,"D3",[1]DATABASE!$AG:$AG,"KEBIDANAN")</f>
        <v>0</v>
      </c>
      <c r="K95" s="8">
        <f t="shared" si="2"/>
        <v>42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5" t="s">
        <v>96</v>
      </c>
      <c r="B96" s="6"/>
      <c r="C96" s="6"/>
      <c r="D96" s="7">
        <f t="shared" ref="D96:G96" si="19">SUM(D97:D101)</f>
        <v>13</v>
      </c>
      <c r="E96" s="7">
        <f t="shared" si="19"/>
        <v>11</v>
      </c>
      <c r="F96" s="7">
        <f t="shared" si="19"/>
        <v>5</v>
      </c>
      <c r="G96" s="7">
        <f t="shared" si="19"/>
        <v>29</v>
      </c>
      <c r="H96" s="3"/>
      <c r="I96" s="7">
        <f t="shared" ref="I96:J96" si="20">SUM(I97:I101)</f>
        <v>27</v>
      </c>
      <c r="J96" s="7">
        <f t="shared" si="20"/>
        <v>2</v>
      </c>
      <c r="K96" s="7">
        <f t="shared" si="2"/>
        <v>29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8">
        <v>89</v>
      </c>
      <c r="B97" s="9" t="s">
        <v>97</v>
      </c>
      <c r="C97" s="8" t="s">
        <v>84</v>
      </c>
      <c r="D97" s="8">
        <f>COUNTIFS([1]DATABASE!$G:$G,"AKTIF",[1]DATABASE!$AW:$AW,"PNS",[1]DATABASE!$AE:$AE,"APOTEKER",[1]DATABASE!$AG:$AG,"APOTEKER")</f>
        <v>5</v>
      </c>
      <c r="E97" s="8">
        <f>COUNTIFS([1]DATABASE!$G10:$G1097,"AKTIF",[1]DATABASE!$AW10:$AW1097,"APBD",[1]DATABASE!$AE10:$AE1097,"APOTEKER",[1]DATABASE!$AG10:$AG1097,"APOTEKER")</f>
        <v>2</v>
      </c>
      <c r="F97" s="8">
        <f>COUNTIFS([1]DATABASE!$G10:$G1097,"AKTIF",[1]DATABASE!$AW10:$AW1097,"BLUD",[1]DATABASE!$AE10:$AE1097,"APOTEKER",[1]DATABASE!$AG10:$AG1097,"APOTEKER")</f>
        <v>5</v>
      </c>
      <c r="G97" s="10">
        <f t="shared" ref="G97:G101" si="21">SUM(D97:F97)</f>
        <v>12</v>
      </c>
      <c r="H97" s="3"/>
      <c r="I97" s="8">
        <f>COUNTIFS([1]DATABASE!$G:$G,"AKTIF",[1]DATABASE!$N:$N,"Perempuan",[1]DATABASE!$AE:$AE,"APOTEKER",[1]DATABASE!$AG:$AG,"APOTEKER")</f>
        <v>12</v>
      </c>
      <c r="J97" s="8">
        <f>COUNTIFS([1]DATABASE!$G:$G,"AKTIF",[1]DATABASE!$N:$N,"Laki-Laki",[1]DATABASE!$AE:$AE,"APOTEKER",[1]DATABASE!$AG:$AG,"APOTEKER")</f>
        <v>0</v>
      </c>
      <c r="K97" s="8">
        <f t="shared" si="2"/>
        <v>12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8">
        <v>90</v>
      </c>
      <c r="B98" s="9" t="s">
        <v>98</v>
      </c>
      <c r="C98" s="8" t="s">
        <v>69</v>
      </c>
      <c r="D98" s="8">
        <f>COUNTIFS([1]DATABASE!$G:$G,"AKTIF",[1]DATABASE!$AW:$AW,"PNS",[1]DATABASE!$AE:$AE,"S1",[1]DATABASE!$AG:$AG,"FARMASI")</f>
        <v>2</v>
      </c>
      <c r="E98" s="8">
        <f>COUNTIFS([1]DATABASE!$G:$G,"AKTIF",[1]DATABASE!$AW:$AW,"APBD",[1]DATABASE!$AE:$AE,"S1",[1]DATABASE!$AG:$AG,"FARMASI")</f>
        <v>5</v>
      </c>
      <c r="F98" s="8">
        <f>COUNTIFS([1]DATABASE!$G:$G,"AKTIF",[1]DATABASE!$AW:$AW,"BLUD",[1]DATABASE!$AE:$AE,"S1",[1]DATABASE!$AG:$AG,"FARMASI")</f>
        <v>0</v>
      </c>
      <c r="G98" s="10">
        <f t="shared" si="21"/>
        <v>7</v>
      </c>
      <c r="H98" s="3"/>
      <c r="I98" s="8">
        <f>COUNTIFS([1]DATABASE!$G:$G,"AKTIF",[1]DATABASE!$N:$N,"Perempuan",[1]DATABASE!$AE:$AE,"S1",[1]DATABASE!$AG:$AG,"FARMASI")</f>
        <v>7</v>
      </c>
      <c r="J98" s="8">
        <f>COUNTIFS([1]DATABASE!$G:$G,"AKTIF",[1]DATABASE!$N:$N,"Laki-Laki",[1]DATABASE!$AE:$AE,"S1",[1]DATABASE!$AG:$AG,"FARMASI")</f>
        <v>0</v>
      </c>
      <c r="K98" s="8">
        <f t="shared" si="2"/>
        <v>7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8">
        <v>91</v>
      </c>
      <c r="B99" s="9" t="s">
        <v>98</v>
      </c>
      <c r="C99" s="8" t="s">
        <v>89</v>
      </c>
      <c r="D99" s="8">
        <f>COUNTIFS([1]DATABASE!$G:$G,"AKTIF",[1]DATABASE!$AW:$AW,"PNS",[1]DATABASE!$AE:$AE,"D3",[1]DATABASE!$AG:$AG,"FARMASI")</f>
        <v>5</v>
      </c>
      <c r="E99" s="8">
        <f>COUNTIFS([1]DATABASE!$G:$G,"AKTIF",[1]DATABASE!$AW:$AW,"APBD",[1]DATABASE!$AE:$AE,"D3",[1]DATABASE!$AG:$AG,"FARMASI")</f>
        <v>2</v>
      </c>
      <c r="F99" s="8">
        <f>COUNTIFS([1]DATABASE!$G:$G,"AKTIF",[1]DATABASE!$AW:$AW,"BLUD",[1]DATABASE!$AE:$AE,"D3",[1]DATABASE!$AG:$AG,"FARMASI")</f>
        <v>0</v>
      </c>
      <c r="G99" s="10">
        <f t="shared" si="21"/>
        <v>7</v>
      </c>
      <c r="H99" s="3"/>
      <c r="I99" s="8">
        <f>COUNTIFS([1]DATABASE!$G:$G,"AKTIF",[1]DATABASE!$N:$N,"Perempuan",[1]DATABASE!$AE:$AE,"D3",[1]DATABASE!$AG:$AG,"FARMASI")</f>
        <v>5</v>
      </c>
      <c r="J99" s="8">
        <f>COUNTIFS([1]DATABASE!$G:$G,"AKTIF",[1]DATABASE!$N:$N,"Laki-Laki",[1]DATABASE!$AE:$AE,"D3",[1]DATABASE!$AG:$AG,"FARMASI")</f>
        <v>2</v>
      </c>
      <c r="K99" s="8">
        <f t="shared" si="2"/>
        <v>7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8">
        <v>92</v>
      </c>
      <c r="B100" s="9" t="s">
        <v>99</v>
      </c>
      <c r="C100" s="8" t="s">
        <v>89</v>
      </c>
      <c r="D100" s="8">
        <f>COUNTIFS([1]DATABASE!$G:$G,"AKTIF",[1]DATABASE!$AW:$AW,"PNS",[1]DATABASE!$AE:$AE,"D3",[1]DATABASE!$AG:$AG,"ANALIS FARMASI")</f>
        <v>1</v>
      </c>
      <c r="E100" s="8">
        <f>COUNTIFS([1]DATABASE!$G:$G,"AKTIF",[1]DATABASE!$AW:$AW,"APBD",[1]DATABASE!$AE:$AE,"D3",[1]DATABASE!$AG:$AG,"ANALIS FARMASI")</f>
        <v>0</v>
      </c>
      <c r="F100" s="8">
        <f>COUNTIFS([1]DATABASE!$G:$G,"AKTIF",[1]DATABASE!$AW:$AW,"BLUD",[1]DATABASE!$AE:$AE,"D3",[1]DATABASE!$AG:$AG,"ANALIS FARMASI")</f>
        <v>0</v>
      </c>
      <c r="G100" s="10">
        <f t="shared" si="21"/>
        <v>1</v>
      </c>
      <c r="H100" s="3"/>
      <c r="I100" s="8">
        <f>COUNTIFS([1]DATABASE!$G:$G,"AKTIF",[1]DATABASE!$N:$N,"Perempuan",[1]DATABASE!$AE:$AE,"D3",[1]DATABASE!$AG:$AG,"ANALIS FARMASI")</f>
        <v>1</v>
      </c>
      <c r="J100" s="8">
        <f>COUNTIFS([1]DATABASE!$G:$G,"AKTIF",[1]DATABASE!$N:$N,"Laki-Laki",[1]DATABASE!$AE:$AE,"D3",[1]DATABASE!$AG:$AG,"ANALIS FARMASI")</f>
        <v>0</v>
      </c>
      <c r="K100" s="8">
        <f t="shared" si="2"/>
        <v>1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8">
        <v>93</v>
      </c>
      <c r="B101" s="9" t="s">
        <v>100</v>
      </c>
      <c r="C101" s="8" t="s">
        <v>89</v>
      </c>
      <c r="D101" s="8">
        <f>COUNTIFS([1]DATABASE!$G:$G,"AKTIF",[1]DATABASE!$AW:$AW,"PNS",[1]DATABASE!$AE:$AE,"D3",[1]DATABASE!$AG:$AG,"ANALIS FARMASI DAN MAKANAN")</f>
        <v>0</v>
      </c>
      <c r="E101" s="8">
        <f>COUNTIFS([1]DATABASE!$G:$G,"AKTIF",[1]DATABASE!$AW:$AW,"APBD",[1]DATABASE!$AE:$AE,"D3",[1]DATABASE!$AG:$AG,"ANALIS FARMASI DAN MAKANAN")</f>
        <v>2</v>
      </c>
      <c r="F101" s="8">
        <f>COUNTIFS([1]DATABASE!$G:$G,"AKTIF",[1]DATABASE!$AW:$AW,"BLUD",[1]DATABASE!$AE:$AE,"D3",[1]DATABASE!$AG:$AG,"ANALIS FARMASI DAN MAKANAN")</f>
        <v>0</v>
      </c>
      <c r="G101" s="10">
        <f t="shared" si="21"/>
        <v>2</v>
      </c>
      <c r="H101" s="3"/>
      <c r="I101" s="8">
        <f>COUNTIFS([1]DATABASE!$G:$G,"AKTIF",[1]DATABASE!$N:$N,"Perempuan",[1]DATABASE!$AE:$AE,"D3",[1]DATABASE!$AG:$AG,"ANALIS FARMASI DAN MAKANAN")</f>
        <v>2</v>
      </c>
      <c r="J101" s="8">
        <f>COUNTIFS([1]DATABASE!$G:$G,"AKTIF",[1]DATABASE!$N:$N,"Laki-Laki",[1]DATABASE!$AE:$AE,"D3",[1]DATABASE!$AG:$AG,"ANALIS FARMASI DAN MAKANAN")</f>
        <v>0</v>
      </c>
      <c r="K101" s="8">
        <f t="shared" si="2"/>
        <v>2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5" t="s">
        <v>101</v>
      </c>
      <c r="B102" s="6"/>
      <c r="C102" s="6"/>
      <c r="D102" s="7">
        <f t="shared" ref="D102:G102" si="22">SUM(D103:D105)</f>
        <v>15</v>
      </c>
      <c r="E102" s="7">
        <f t="shared" si="22"/>
        <v>2</v>
      </c>
      <c r="F102" s="7">
        <f t="shared" si="22"/>
        <v>1</v>
      </c>
      <c r="G102" s="7">
        <f t="shared" si="22"/>
        <v>18</v>
      </c>
      <c r="H102" s="3"/>
      <c r="I102" s="7">
        <f t="shared" ref="I102:J102" si="23">SUM(I103:I105)</f>
        <v>18</v>
      </c>
      <c r="J102" s="7">
        <f t="shared" si="23"/>
        <v>0</v>
      </c>
      <c r="K102" s="7">
        <f t="shared" si="2"/>
        <v>18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8">
        <v>94</v>
      </c>
      <c r="B103" s="9" t="s">
        <v>102</v>
      </c>
      <c r="C103" s="8" t="s">
        <v>69</v>
      </c>
      <c r="D103" s="8">
        <f>COUNTIFS([1]DATABASE!$G:$G,"AKTIF",[1]DATABASE!$AW:$AW,"PNS",[1]DATABASE!$AE:$AE,"S1",[1]DATABASE!$AG:$AG,"GIZI")</f>
        <v>0</v>
      </c>
      <c r="E103" s="8">
        <f>COUNTIFS([1]DATABASE!$G:$G,"AKTIF",[1]DATABASE!$AW:$AW,"APBD",[1]DATABASE!$AE:$AE,"S1",[1]DATABASE!$AG:$AG,"GIZI")</f>
        <v>0</v>
      </c>
      <c r="F103" s="8">
        <f>COUNTIFS([1]DATABASE!$G:$G,"AKTIF",[1]DATABASE!$AW:$AW,"BLUD",[1]DATABASE!$AE:$AE,"S1",[1]DATABASE!$AG:$AG,"GIZI")</f>
        <v>0</v>
      </c>
      <c r="G103" s="10">
        <f t="shared" ref="G103:G105" si="24">SUM(D103:F103)</f>
        <v>0</v>
      </c>
      <c r="H103" s="3"/>
      <c r="I103" s="8">
        <f>COUNTIFS([1]DATABASE!$G:$G,"AKTIF",[1]DATABASE!$N:$N,"Perempuan",[1]DATABASE!$AE:$AE,"S1",[1]DATABASE!$AG:$AG,"GIZI")</f>
        <v>0</v>
      </c>
      <c r="J103" s="8">
        <f>COUNTIFS([1]DATABASE!$G:$G,"AKTIF",[1]DATABASE!$N:$N,"Laki-Laki",[1]DATABASE!$AE:$AE,"S1",[1]DATABASE!$AG:$AG,"GIZI")</f>
        <v>0</v>
      </c>
      <c r="K103" s="8">
        <f t="shared" si="2"/>
        <v>0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8">
        <v>95</v>
      </c>
      <c r="B104" s="9" t="s">
        <v>102</v>
      </c>
      <c r="C104" s="8" t="s">
        <v>86</v>
      </c>
      <c r="D104" s="8">
        <f>COUNTIFS([1]DATABASE!$G:$G,"AKTIF",[1]DATABASE!$AW:$AW,"PNS",[1]DATABASE!$AE:$AE,"D4",[1]DATABASE!$AG:$AG,"GIZI")</f>
        <v>11</v>
      </c>
      <c r="E104" s="8">
        <f>COUNTIFS([1]DATABASE!$G:$G,"AKTIF",[1]DATABASE!$AW:$AW,"APBD",[1]DATABASE!$AE:$AE,"D4",[1]DATABASE!$AG:$AG,"GIZI")</f>
        <v>0</v>
      </c>
      <c r="F104" s="8">
        <f>COUNTIFS([1]DATABASE!$G:$G,"AKTIF",[1]DATABASE!$AW:$AW,"BLUD",[1]DATABASE!$AE:$AE,"D4",[1]DATABASE!$AG:$AG,"GIZI")</f>
        <v>0</v>
      </c>
      <c r="G104" s="10">
        <f t="shared" si="24"/>
        <v>11</v>
      </c>
      <c r="H104" s="3"/>
      <c r="I104" s="8">
        <f>COUNTIFS([1]DATABASE!$G:$G,"AKTIF",[1]DATABASE!$N:$N,"Perempuan",[1]DATABASE!$AE:$AE,"D4",[1]DATABASE!$AG:$AG,"GIZI")</f>
        <v>11</v>
      </c>
      <c r="J104" s="8">
        <f>COUNTIFS([1]DATABASE!$G:$G,"AKTIF",[1]DATABASE!$N:$N,"Laki-Laki",[1]DATABASE!$AE:$AE,"D4",[1]DATABASE!$AG:$AG,"GIZI")</f>
        <v>0</v>
      </c>
      <c r="K104" s="8">
        <f t="shared" si="2"/>
        <v>11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8">
        <v>96</v>
      </c>
      <c r="B105" s="9" t="s">
        <v>102</v>
      </c>
      <c r="C105" s="8" t="s">
        <v>89</v>
      </c>
      <c r="D105" s="8">
        <f>COUNTIFS([1]DATABASE!$G:$G,"AKTIF",[1]DATABASE!$AW:$AW,"PNS",[1]DATABASE!$AE:$AE,"D3",[1]DATABASE!$AG:$AG,"GIZI")</f>
        <v>4</v>
      </c>
      <c r="E105" s="8">
        <f>COUNTIFS([1]DATABASE!$G:$G,"AKTIF",[1]DATABASE!$AW:$AW,"APBD",[1]DATABASE!$AE:$AE,"D3",[1]DATABASE!$AG:$AG,"GIZI")</f>
        <v>2</v>
      </c>
      <c r="F105" s="8">
        <f>COUNTIFS([1]DATABASE!$G:$G,"AKTIF",[1]DATABASE!$AW:$AW,"BLUD",[1]DATABASE!$AE:$AE,"D3",[1]DATABASE!$AG:$AG,"GIZI")</f>
        <v>1</v>
      </c>
      <c r="G105" s="10">
        <f t="shared" si="24"/>
        <v>7</v>
      </c>
      <c r="H105" s="3"/>
      <c r="I105" s="8">
        <f>COUNTIFS([1]DATABASE!$G:$G,"AKTIF",[1]DATABASE!$N:$N,"Perempuan",[1]DATABASE!$AE:$AE,"D3",[1]DATABASE!$AG:$AG,"GIZI")</f>
        <v>7</v>
      </c>
      <c r="J105" s="8">
        <f>COUNTIFS([1]DATABASE!$G:$G,"AKTIF",[1]DATABASE!$N:$N,"Laki-Laki",[1]DATABASE!$AE:$AE,"D3",[1]DATABASE!$AG:$AG,"GIZI")</f>
        <v>0</v>
      </c>
      <c r="K105" s="8">
        <f t="shared" si="2"/>
        <v>7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5" t="s">
        <v>103</v>
      </c>
      <c r="B106" s="6"/>
      <c r="C106" s="6"/>
      <c r="D106" s="7">
        <f t="shared" ref="D106:G106" si="25">SUM(D107:D111)</f>
        <v>13</v>
      </c>
      <c r="E106" s="7">
        <f t="shared" si="25"/>
        <v>19</v>
      </c>
      <c r="F106" s="7">
        <f t="shared" si="25"/>
        <v>2</v>
      </c>
      <c r="G106" s="7">
        <f t="shared" si="25"/>
        <v>34</v>
      </c>
      <c r="H106" s="3"/>
      <c r="I106" s="7">
        <f t="shared" ref="I106:J106" si="26">SUM(I107:I111)</f>
        <v>30</v>
      </c>
      <c r="J106" s="7">
        <f t="shared" si="26"/>
        <v>4</v>
      </c>
      <c r="K106" s="7">
        <f t="shared" si="2"/>
        <v>34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8">
        <v>97</v>
      </c>
      <c r="B107" s="9" t="s">
        <v>104</v>
      </c>
      <c r="C107" s="8" t="s">
        <v>69</v>
      </c>
      <c r="D107" s="8">
        <f>COUNTIFS([1]DATABASE!$G:$G,"AKTIF",[1]DATABASE!$AW:$AW,"PNS",[1]DATABASE!$AE:$AE,"S1",[1]DATABASE!$AG:$AG,"SAINS")</f>
        <v>10</v>
      </c>
      <c r="E107" s="8">
        <f>COUNTIFS([1]DATABASE!$G:$G,"AKTIF",[1]DATABASE!$AW:$AW,"APBD",[1]DATABASE!$AE:$AE,"S1",[1]DATABASE!$AG:$AG,"SAINS")</f>
        <v>2</v>
      </c>
      <c r="F107" s="8">
        <f>COUNTIFS([1]DATABASE!$G:$G,"AKTIF",[1]DATABASE!$AW:$AW,"BLUD",[1]DATABASE!$AE:$AE,"S1",[1]DATABASE!$AG:$AG,"SAINS")</f>
        <v>0</v>
      </c>
      <c r="G107" s="10">
        <f t="shared" ref="G107:G111" si="27">SUM(D107:F107)</f>
        <v>12</v>
      </c>
      <c r="H107" s="3"/>
      <c r="I107" s="8">
        <f>COUNTIFS([1]DATABASE!$G:$G,"AKTIF",[1]DATABASE!$N:$N,"Perempuan",[1]DATABASE!$AE:$AE,"S1",[1]DATABASE!$AG:$AG,"SAINS")</f>
        <v>11</v>
      </c>
      <c r="J107" s="8">
        <f>COUNTIFS([1]DATABASE!$G:$G,"AKTIF",[1]DATABASE!$N:$N,"Laki-Laki",[1]DATABASE!$AE:$AE,"S1",[1]DATABASE!$AG:$AG,"SAINS")</f>
        <v>1</v>
      </c>
      <c r="K107" s="8">
        <f t="shared" si="2"/>
        <v>12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8">
        <v>98</v>
      </c>
      <c r="B108" s="9" t="s">
        <v>105</v>
      </c>
      <c r="C108" s="8" t="s">
        <v>69</v>
      </c>
      <c r="D108" s="8">
        <f>COUNTIFS([1]DATABASE!$G:$G,"AKTIF",[1]DATABASE!$AW:$AW,"PNS",[1]DATABASE!$AE:$AE,"S1",[1]DATABASE!$AG:$AG,"ANALIS KESEHATAN")</f>
        <v>0</v>
      </c>
      <c r="E108" s="8">
        <f>COUNTIFS([1]DATABASE!$G:$G,"AKTIF",[1]DATABASE!$AW:$AW,"APBD",[1]DATABASE!$AE:$AE,"S1",[1]DATABASE!$AG:$AG,"ANALIS KESEHATAN")</f>
        <v>1</v>
      </c>
      <c r="F108" s="8">
        <f>COUNTIFS([1]DATABASE!$G:$G,"AKTIF",[1]DATABASE!$AW:$AW,"BLUD",[1]DATABASE!$AE:$AE,"S1",[1]DATABASE!$AG:$AG,"ANALIS KESEHATAN")</f>
        <v>0</v>
      </c>
      <c r="G108" s="10">
        <f t="shared" si="27"/>
        <v>1</v>
      </c>
      <c r="H108" s="3"/>
      <c r="I108" s="8">
        <f>COUNTIFS([1]DATABASE!$G:$G,"AKTIF",[1]DATABASE!$N:$N,"Perempuan",[1]DATABASE!$AE:$AE,"S1",[1]DATABASE!$AG:$AG,"ANALIS KESEHATAN")</f>
        <v>0</v>
      </c>
      <c r="J108" s="8">
        <f>COUNTIFS([1]DATABASE!$G:$G,"AKTIF",[1]DATABASE!$N:$N,"Laki-Laki",[1]DATABASE!$AE:$AE,"S1",[1]DATABASE!$AG:$AG,"ANALIS KESEHATAN")</f>
        <v>1</v>
      </c>
      <c r="K108" s="8">
        <f t="shared" si="2"/>
        <v>1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8">
        <v>99</v>
      </c>
      <c r="B109" s="9" t="s">
        <v>105</v>
      </c>
      <c r="C109" s="8" t="s">
        <v>86</v>
      </c>
      <c r="D109" s="8">
        <f>COUNTIFS([1]DATABASE!$G:$G,"AKTIF",[1]DATABASE!$AW:$AW,"PNS",[1]DATABASE!$AE:$AE,"D4",[1]DATABASE!$AG:$AG,"ANALIS KESEHATAN")</f>
        <v>0</v>
      </c>
      <c r="E109" s="8">
        <f>COUNTIFS([1]DATABASE!$G:$G,"AKTIF",[1]DATABASE!$AW:$AW,"APBD",[1]DATABASE!$AE:$AE,"D4",[1]DATABASE!$AG:$AG,"ANALIS KESEHATAN")</f>
        <v>0</v>
      </c>
      <c r="F109" s="8">
        <f>COUNTIFS([1]DATABASE!$G:$G,"AKTIF",[1]DATABASE!$AW:$AW,"BLUD",[1]DATABASE!$AE:$AE,"D4",[1]DATABASE!$AG:$AG,"ANALIS KESEHATAN")</f>
        <v>0</v>
      </c>
      <c r="G109" s="10">
        <f t="shared" si="27"/>
        <v>0</v>
      </c>
      <c r="H109" s="3"/>
      <c r="I109" s="8">
        <f>COUNTIFS([1]DATABASE!$G:$G,"AKTIF",[1]DATABASE!$N:$N,"Perempuan",[1]DATABASE!$AE:$AE,"D4",[1]DATABASE!$AG:$AG,"ANALIS KESEHATAN")</f>
        <v>0</v>
      </c>
      <c r="J109" s="8">
        <f>COUNTIFS([1]DATABASE!$G:$G,"AKTIF",[1]DATABASE!$N:$N,"Laki-Laki",[1]DATABASE!$AE:$AE,"D4",[1]DATABASE!$AG:$AG,"ANALIS KESEHATAN")</f>
        <v>0</v>
      </c>
      <c r="K109" s="8">
        <f t="shared" si="2"/>
        <v>0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8">
        <v>100</v>
      </c>
      <c r="B110" s="9" t="s">
        <v>105</v>
      </c>
      <c r="C110" s="8" t="s">
        <v>89</v>
      </c>
      <c r="D110" s="8">
        <f>COUNTIFS([1]DATABASE!$G:$G,"AKTIF",[1]DATABASE!$AW:$AW,"PNS",[1]DATABASE!$AE:$AE,"D3",[1]DATABASE!$AG:$AG,"ANALIS KESEHATAN")</f>
        <v>2</v>
      </c>
      <c r="E110" s="8">
        <f>COUNTIFS([1]DATABASE!$G:$G,"AKTIF",[1]DATABASE!$AW:$AW,"APBD",[1]DATABASE!$AE:$AE,"D3",[1]DATABASE!$AG:$AG,"ANALIS KESEHATAN")</f>
        <v>16</v>
      </c>
      <c r="F110" s="8">
        <f>COUNTIFS([1]DATABASE!$G:$G,"AKTIF",[1]DATABASE!$AW:$AW,"BLUD",[1]DATABASE!$AE:$AE,"D3",[1]DATABASE!$AG:$AG,"ANALIS KESEHATAN")</f>
        <v>2</v>
      </c>
      <c r="G110" s="10">
        <f t="shared" si="27"/>
        <v>20</v>
      </c>
      <c r="H110" s="3"/>
      <c r="I110" s="8">
        <f>COUNTIFS([1]DATABASE!$G:$G,"AKTIF",[1]DATABASE!$N:$N,"Perempuan",[1]DATABASE!$AE:$AE,"D3",[1]DATABASE!$AG:$AG,"ANALIS KESEHATAN")</f>
        <v>18</v>
      </c>
      <c r="J110" s="8">
        <f>COUNTIFS([1]DATABASE!$G:$G,"AKTIF",[1]DATABASE!$N:$N,"Laki-Laki",[1]DATABASE!$AE:$AE,"D3",[1]DATABASE!$AG:$AG,"ANALIS KESEHATAN")</f>
        <v>2</v>
      </c>
      <c r="K110" s="8">
        <f t="shared" si="2"/>
        <v>20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8">
        <v>101</v>
      </c>
      <c r="B111" s="9" t="s">
        <v>106</v>
      </c>
      <c r="C111" s="8" t="s">
        <v>92</v>
      </c>
      <c r="D111" s="8">
        <f>COUNTIFS([1]DATABASE!$G:$G,"AKTIF",[1]DATABASE!$AW:$AW,"PNS",[1]DATABASE!$AE:$AE,"SMA",[1]DATABASE!$AG:$AG,"ANALIS KESEHATAN")</f>
        <v>1</v>
      </c>
      <c r="E111" s="8">
        <f>COUNTIFS([1]DATABASE!$G:$G,"AKTIF",[1]DATABASE!$AW:$AW,"APBD",[1]DATABASE!$AE:$AE,"SMA",[1]DATABASE!$AG:$AG,"ANALIS KESEHATAN")</f>
        <v>0</v>
      </c>
      <c r="F111" s="8">
        <f>COUNTIFS([1]DATABASE!$G:$G,"AKTIF",[1]DATABASE!$AW:$AW,"BLUD",[1]DATABASE!$AE:$AE,"SMA",[1]DATABASE!$AG:$AG,"ANALIS KESEHATAN")</f>
        <v>0</v>
      </c>
      <c r="G111" s="10">
        <f t="shared" si="27"/>
        <v>1</v>
      </c>
      <c r="H111" s="3"/>
      <c r="I111" s="8">
        <f>COUNTIFS([1]DATABASE!$G:$G,"AKTIF",[1]DATABASE!$N:$N,"Perempuan",[1]DATABASE!$AE:$AE,"SMA",[1]DATABASE!$AG:$AG,"ANALIS KESEHATAN")</f>
        <v>1</v>
      </c>
      <c r="J111" s="8">
        <f>COUNTIFS([1]DATABASE!$G:$G,"AKTIF",[1]DATABASE!$N:$N,"Laki-Laki",[1]DATABASE!$AE:$AE,"SMA",[1]DATABASE!$AG:$AG,"ANALIS KESEHATAN")</f>
        <v>0</v>
      </c>
      <c r="K111" s="8">
        <f t="shared" si="2"/>
        <v>1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5" t="s">
        <v>107</v>
      </c>
      <c r="B112" s="6"/>
      <c r="C112" s="6"/>
      <c r="D112" s="7">
        <f t="shared" ref="D112:G112" si="28">SUM(D113:D116)</f>
        <v>7</v>
      </c>
      <c r="E112" s="7">
        <f t="shared" si="28"/>
        <v>4</v>
      </c>
      <c r="F112" s="7">
        <f t="shared" si="28"/>
        <v>0</v>
      </c>
      <c r="G112" s="7">
        <f t="shared" si="28"/>
        <v>11</v>
      </c>
      <c r="H112" s="3"/>
      <c r="I112" s="7">
        <f t="shared" ref="I112:J112" si="29">SUM(I113:I116)</f>
        <v>7</v>
      </c>
      <c r="J112" s="7">
        <f t="shared" si="29"/>
        <v>4</v>
      </c>
      <c r="K112" s="7">
        <f t="shared" si="2"/>
        <v>11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8">
        <v>102</v>
      </c>
      <c r="B113" s="9" t="s">
        <v>108</v>
      </c>
      <c r="C113" s="8" t="s">
        <v>69</v>
      </c>
      <c r="D113" s="8">
        <f>COUNTIFS([1]DATABASE!$G:$G,"AKTIF",[1]DATABASE!$AW:$AW,"PNS",[1]DATABASE!$AE:$AE,"S1",[1]DATABASE!$AG:$AG,"FISIOTERAPI")</f>
        <v>1</v>
      </c>
      <c r="E113" s="8">
        <f>COUNTIFS([1]DATABASE!$G:$G,"AKTIF",[1]DATABASE!$AW:$AW,"APBD",[1]DATABASE!$AE:$AE,"S1",[1]DATABASE!$AG:$AG,"FISIOTERAPI")</f>
        <v>1</v>
      </c>
      <c r="F113" s="8">
        <f>COUNTIFS([1]DATABASE!$G:$G,"AKTIF",[1]DATABASE!$AW:$AW,"BLUD",[1]DATABASE!$AE:$AE,"S1",[1]DATABASE!$AG:$AG,"FISIOTERAPI")</f>
        <v>0</v>
      </c>
      <c r="G113" s="10">
        <f t="shared" ref="G113:G116" si="30">SUM(D113:F113)</f>
        <v>2</v>
      </c>
      <c r="H113" s="3"/>
      <c r="I113" s="8">
        <f>COUNTIFS([1]DATABASE!$G:$G,"AKTIF",[1]DATABASE!$N:$N,"Perempuan",[1]DATABASE!$AE:$AE,"S1",[1]DATABASE!$AG:$AG,"FISIOTERAPI")</f>
        <v>1</v>
      </c>
      <c r="J113" s="8">
        <f>COUNTIFS([1]DATABASE!$G:$G,"AKTIF",[1]DATABASE!$N:$N,"Laki-Laki",[1]DATABASE!$AE:$AE,"S1",[1]DATABASE!$AG:$AG,"FISIOTERAPI")</f>
        <v>1</v>
      </c>
      <c r="K113" s="8">
        <f t="shared" si="2"/>
        <v>2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8">
        <v>103</v>
      </c>
      <c r="B114" s="9" t="s">
        <v>108</v>
      </c>
      <c r="C114" s="8" t="s">
        <v>86</v>
      </c>
      <c r="D114" s="8">
        <f>COUNTIFS([1]DATABASE!$G:$G,"AKTIF",[1]DATABASE!$AW:$AW,"PNS",[1]DATABASE!$AE:$AE,"D4",[1]DATABASE!$AG:$AG,"FISIOTERAPI")</f>
        <v>2</v>
      </c>
      <c r="E114" s="8">
        <f>COUNTIFS([1]DATABASE!$G:$G,"AKTIF",[1]DATABASE!$AW:$AW,"APBD",[1]DATABASE!$AE:$AE,"D4",[1]DATABASE!$AG:$AG,"FISIOTERAPI")</f>
        <v>0</v>
      </c>
      <c r="F114" s="8">
        <f>COUNTIFS([1]DATABASE!$G:$G,"AKTIF",[1]DATABASE!$AW:$AW,"BLUD",[1]DATABASE!$AE:$AE,"D4",[1]DATABASE!$AG:$AG,"FISIOTERAPI")</f>
        <v>0</v>
      </c>
      <c r="G114" s="10">
        <f t="shared" si="30"/>
        <v>2</v>
      </c>
      <c r="H114" s="3"/>
      <c r="I114" s="8">
        <f>COUNTIFS([1]DATABASE!$G:$G,"AKTIF",[1]DATABASE!$N:$N,"Perempuan",[1]DATABASE!$AE:$AE,"D4",[1]DATABASE!$AG:$AG,"FISIOTERAPI")</f>
        <v>1</v>
      </c>
      <c r="J114" s="8">
        <f>COUNTIFS([1]DATABASE!$G:$G,"AKTIF",[1]DATABASE!$N:$N,"Laki-Laki",[1]DATABASE!$AE:$AE,"D4",[1]DATABASE!$AG:$AG,"FISIOTERAPI")</f>
        <v>1</v>
      </c>
      <c r="K114" s="8">
        <f t="shared" si="2"/>
        <v>2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8">
        <v>104</v>
      </c>
      <c r="B115" s="9" t="s">
        <v>108</v>
      </c>
      <c r="C115" s="8" t="s">
        <v>89</v>
      </c>
      <c r="D115" s="8">
        <f>COUNTIFS([1]DATABASE!$G:$G,"AKTIF",[1]DATABASE!$AW:$AW,"PNS",[1]DATABASE!$AE:$AE,"D3",[1]DATABASE!$AG:$AG,"FISIOTERAPI")</f>
        <v>3</v>
      </c>
      <c r="E115" s="8">
        <f>COUNTIFS([1]DATABASE!$G:$G,"AKTIF",[1]DATABASE!$AW:$AW,"APBD",[1]DATABASE!$AE:$AE,"D3",[1]DATABASE!$AG:$AG,"FISIOTERAPI")</f>
        <v>3</v>
      </c>
      <c r="F115" s="8">
        <f>COUNTIFS([1]DATABASE!$G:$G,"AKTIF",[1]DATABASE!$AW:$AW,"BLUD",[1]DATABASE!$AE:$AE,"D3",[1]DATABASE!$AG:$AG,"FISIOTERAPI")</f>
        <v>0</v>
      </c>
      <c r="G115" s="10">
        <f t="shared" si="30"/>
        <v>6</v>
      </c>
      <c r="H115" s="3"/>
      <c r="I115" s="8">
        <f>COUNTIFS([1]DATABASE!$G:$G,"AKTIF",[1]DATABASE!$N:$N,"Perempuan",[1]DATABASE!$AE:$AE,"D3",[1]DATABASE!$AG:$AG,"FISIOTERAPI")</f>
        <v>4</v>
      </c>
      <c r="J115" s="8">
        <f>COUNTIFS([1]DATABASE!$G:$G,"AKTIF",[1]DATABASE!$N:$N,"Laki-Laki",[1]DATABASE!$AE:$AE,"D3",[1]DATABASE!$AG:$AG,"FISIOTERAPI")</f>
        <v>2</v>
      </c>
      <c r="K115" s="8">
        <f t="shared" si="2"/>
        <v>6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8">
        <v>105</v>
      </c>
      <c r="B116" s="9" t="s">
        <v>109</v>
      </c>
      <c r="C116" s="8" t="s">
        <v>89</v>
      </c>
      <c r="D116" s="8">
        <f>COUNTIFS([1]DATABASE!$G:$G,"AKTIF",[1]DATABASE!$AW:$AW,"PNS",[1]DATABASE!$AE:$AE,"D3",[1]DATABASE!$AG:$AG,"TERAPI WICARA")</f>
        <v>1</v>
      </c>
      <c r="E116" s="8">
        <f>COUNTIFS([1]DATABASE!$G:$G,"AKTIF",[1]DATABASE!$AW:$AW,"APBD",[1]DATABASE!$AE:$AE,"D3",[1]DATABASE!$AG:$AG,"TERAPI WICARA")</f>
        <v>0</v>
      </c>
      <c r="F116" s="8">
        <f>COUNTIFS([1]DATABASE!$G:$G,"AKTIF",[1]DATABASE!$AW:$AW,"BLUD",[1]DATABASE!$AE:$AE,"D3",[1]DATABASE!$AG:$AG,"TERAPI WICARA")</f>
        <v>0</v>
      </c>
      <c r="G116" s="10">
        <f t="shared" si="30"/>
        <v>1</v>
      </c>
      <c r="H116" s="3"/>
      <c r="I116" s="8">
        <f>COUNTIFS([1]DATABASE!$G:$G,"AKTIF",[1]DATABASE!$N:$N,"Perempuan",[1]DATABASE!$AE:$AE,"D3",[1]DATABASE!$AG:$AG,"TERAPI WICARA")</f>
        <v>1</v>
      </c>
      <c r="J116" s="8">
        <f>COUNTIFS([1]DATABASE!$G:$G,"AKTIF",[1]DATABASE!$N:$N,"Laki-Laki",[1]DATABASE!$AE:$AE,"D3",[1]DATABASE!$AG:$AG,"TERAPI WICARA")</f>
        <v>0</v>
      </c>
      <c r="K116" s="8">
        <f t="shared" si="2"/>
        <v>1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5" t="s">
        <v>110</v>
      </c>
      <c r="B117" s="6"/>
      <c r="C117" s="6"/>
      <c r="D117" s="7">
        <f t="shared" ref="D117:G117" si="31">SUM(D118:D120)</f>
        <v>3</v>
      </c>
      <c r="E117" s="7">
        <f t="shared" si="31"/>
        <v>2</v>
      </c>
      <c r="F117" s="7">
        <f t="shared" si="31"/>
        <v>0</v>
      </c>
      <c r="G117" s="7">
        <f t="shared" si="31"/>
        <v>5</v>
      </c>
      <c r="H117" s="3"/>
      <c r="I117" s="7">
        <f t="shared" ref="I117:J117" si="32">SUM(I118:I120)</f>
        <v>2</v>
      </c>
      <c r="J117" s="7">
        <f t="shared" si="32"/>
        <v>3</v>
      </c>
      <c r="K117" s="7">
        <f t="shared" si="2"/>
        <v>5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11">
        <v>106</v>
      </c>
      <c r="B118" s="9" t="s">
        <v>111</v>
      </c>
      <c r="C118" s="8" t="s">
        <v>69</v>
      </c>
      <c r="D118" s="8">
        <f>COUNTIFS([1]DATABASE!$G:$G,"AKTIF",[1]DATABASE!$AW:$AW,"PNS",[1]DATABASE!$AE:$AE,"S1",[1]DATABASE!$AG:$AG,"TEKNIK ELEKTROMEDIS")</f>
        <v>0</v>
      </c>
      <c r="E118" s="8">
        <f>COUNTIFS([1]DATABASE!$G:$G,"AKTIF",[1]DATABASE!$AW:$AW,"APBD",[1]DATABASE!$AE:$AE,"S1",[1]DATABASE!$AG:$AG,"TEKNIK ELEKTROMEDIS")</f>
        <v>0</v>
      </c>
      <c r="F118" s="8">
        <f>COUNTIFS([1]DATABASE!$G:$G,"AKTIF",[1]DATABASE!$AW:$AW,"BLUD",[1]DATABASE!$AE:$AE,"S1",[1]DATABASE!$AG:$AG,"TEKNIK ELEKTROMEDIS")</f>
        <v>0</v>
      </c>
      <c r="G118" s="10">
        <f t="shared" ref="G118:G120" si="33">SUM(D118:F118)</f>
        <v>0</v>
      </c>
      <c r="H118" s="3"/>
      <c r="I118" s="8">
        <f>COUNTIFS([1]DATABASE!$G:$G,"AKTIF",[1]DATABASE!$N:$N,"Perempuan",[1]DATABASE!$AE:$AE,"S1",[1]DATABASE!$AG:$AG,"TEKNIK ELEKTROMEDIS")</f>
        <v>0</v>
      </c>
      <c r="J118" s="8">
        <f>COUNTIFS([1]DATABASE!$G:$G,"AKTIF",[1]DATABASE!$N:$N,"Laki-Laki",[1]DATABASE!$AE:$AE,"S1",[1]DATABASE!$AG:$AG,"TEKNIK ELEKTROMEDIS")</f>
        <v>0</v>
      </c>
      <c r="K118" s="8">
        <f t="shared" si="2"/>
        <v>0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11">
        <v>107</v>
      </c>
      <c r="B119" s="9" t="s">
        <v>111</v>
      </c>
      <c r="C119" s="8" t="s">
        <v>86</v>
      </c>
      <c r="D119" s="8">
        <f>COUNTIFS([1]DATABASE!$G:$G,"AKTIF",[1]DATABASE!$AW:$AW,"PNS",[1]DATABASE!$AE:$AE,"D4",[1]DATABASE!$AG:$AG,"TEKNIK ELEKTROMEDIS")</f>
        <v>0</v>
      </c>
      <c r="E119" s="8">
        <f>COUNTIFS([1]DATABASE!$G:$G,"AKTIF",[1]DATABASE!$AW:$AW,"APBD",[1]DATABASE!$AE:$AE,"D4",[1]DATABASE!$AG:$AG,"TEKNIK ELEKTROMEDIS")</f>
        <v>0</v>
      </c>
      <c r="F119" s="8">
        <f>COUNTIFS([1]DATABASE!$G:$G,"AKTIF",[1]DATABASE!$AW:$AW,"BLUD",[1]DATABASE!$AE:$AE,"D4",[1]DATABASE!$AG:$AG,"TEKNIK ELEKTROMEDIS")</f>
        <v>0</v>
      </c>
      <c r="G119" s="10">
        <f t="shared" si="33"/>
        <v>0</v>
      </c>
      <c r="H119" s="3"/>
      <c r="I119" s="8">
        <f>COUNTIFS([1]DATABASE!$G:$G,"AKTIF",[1]DATABASE!$N:$N,"Perempuan",[1]DATABASE!$AE:$AE,"D4",[1]DATABASE!$AG:$AG,"TEKNIK ELEKTROMEDIS")</f>
        <v>0</v>
      </c>
      <c r="J119" s="8">
        <f>COUNTIFS([1]DATABASE!$G:$G,"AKTIF",[1]DATABASE!$N:$N,"Laki-Laki",[1]DATABASE!$AE:$AE,"D4",[1]DATABASE!$AG:$AG,"TEKNIK ELEKTROMEDIS")</f>
        <v>0</v>
      </c>
      <c r="K119" s="8">
        <f t="shared" si="2"/>
        <v>0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8">
        <v>108</v>
      </c>
      <c r="B120" s="9" t="s">
        <v>111</v>
      </c>
      <c r="C120" s="8" t="s">
        <v>89</v>
      </c>
      <c r="D120" s="8">
        <f>COUNTIFS([1]DATABASE!$G:$G,"AKTIF",[1]DATABASE!$AW:$AW,"PNS",[1]DATABASE!$AE:$AE,"D3",[1]DATABASE!$AG:$AG,"TEKNIK ELEKTROMEDIS")</f>
        <v>3</v>
      </c>
      <c r="E120" s="8">
        <f>COUNTIFS([1]DATABASE!$G:$G,"AKTIF",[1]DATABASE!$AW:$AW,"APBD",[1]DATABASE!$AE:$AE,"D3",[1]DATABASE!$AG:$AG,"TEKNIK ELEKTROMEDIS")</f>
        <v>2</v>
      </c>
      <c r="F120" s="8">
        <f>COUNTIFS([1]DATABASE!$G:$G,"AKTIF",[1]DATABASE!$AW:$AW,"BLUD",[1]DATABASE!$AE:$AE,"D3",[1]DATABASE!$AG:$AG,"TEKNIK ELEKTROMEDIS")</f>
        <v>0</v>
      </c>
      <c r="G120" s="10">
        <f t="shared" si="33"/>
        <v>5</v>
      </c>
      <c r="H120" s="3"/>
      <c r="I120" s="8">
        <f>COUNTIFS([1]DATABASE!$G:$G,"AKTIF",[1]DATABASE!$N:$N,"Perempuan",[1]DATABASE!$AE:$AE,"D3",[1]DATABASE!$AG:$AG,"TEKNIK ELEKTROMEDIS")</f>
        <v>2</v>
      </c>
      <c r="J120" s="8">
        <f>COUNTIFS([1]DATABASE!$G:$G,"AKTIF",[1]DATABASE!$N:$N,"Laki-Laki",[1]DATABASE!$AE:$AE,"D3",[1]DATABASE!$AG:$AG,"TEKNIK ELEKTROMEDIS")</f>
        <v>3</v>
      </c>
      <c r="K120" s="8">
        <f t="shared" si="2"/>
        <v>5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5" t="s">
        <v>112</v>
      </c>
      <c r="B121" s="6"/>
      <c r="C121" s="6"/>
      <c r="D121" s="7">
        <f t="shared" ref="D121:G121" si="34">SUM(D122:D124)</f>
        <v>5</v>
      </c>
      <c r="E121" s="7">
        <f t="shared" si="34"/>
        <v>4</v>
      </c>
      <c r="F121" s="7">
        <f t="shared" si="34"/>
        <v>2</v>
      </c>
      <c r="G121" s="7">
        <f t="shared" si="34"/>
        <v>11</v>
      </c>
      <c r="H121" s="3"/>
      <c r="I121" s="7">
        <f t="shared" ref="I121:J121" si="35">SUM(I122:I124)</f>
        <v>8</v>
      </c>
      <c r="J121" s="7">
        <f t="shared" si="35"/>
        <v>3</v>
      </c>
      <c r="K121" s="7">
        <f t="shared" si="2"/>
        <v>11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8">
        <v>109</v>
      </c>
      <c r="B122" s="9" t="s">
        <v>113</v>
      </c>
      <c r="C122" s="8" t="s">
        <v>69</v>
      </c>
      <c r="D122" s="8">
        <f>COUNTIFS([1]DATABASE!$G:$G,"AKTIF",[1]DATABASE!$AW:$AW,"PNS",[1]DATABASE!$AE:$AE,"S1",[1]DATABASE!$AG:$AG,"TEKNIK RADIODIAGNOSTIK DAN RADIOTERAPI")</f>
        <v>0</v>
      </c>
      <c r="E122" s="8">
        <f>COUNTIFS([1]DATABASE!$G:$G,"AKTIF",[1]DATABASE!$AW:$AW,"APBD",[1]DATABASE!$AE:$AE,"S1",[1]DATABASE!$AG:$AG,"TEKNIK RADIODIAGNOSTIK DAN RADIOTERAPI")</f>
        <v>0</v>
      </c>
      <c r="F122" s="8">
        <f>COUNTIFS([1]DATABASE!$G:$G,"AKTIF",[1]DATABASE!$AW:$AW,"BLUD",[1]DATABASE!$AE:$AE,"S1",[1]DATABASE!$AG:$AG,"TEKNIK RADIODIAGNOSTIK DAN RADIOTERAPI")</f>
        <v>0</v>
      </c>
      <c r="G122" s="10">
        <f t="shared" ref="G122:G124" si="36">SUM(D122:F122)</f>
        <v>0</v>
      </c>
      <c r="H122" s="3"/>
      <c r="I122" s="8">
        <f>COUNTIFS([1]DATABASE!$G:$G,"AKTIF",[1]DATABASE!$N:$N,"Perempuan",[1]DATABASE!$AE:$AE,"S1",[1]DATABASE!$AG:$AG,"TEKNIK RADIODIAGNOSTIK DAN RADIOTERAPI")</f>
        <v>0</v>
      </c>
      <c r="J122" s="8">
        <f>COUNTIFS([1]DATABASE!$G:$G,"AKTIF",[1]DATABASE!$N:$N,"Laki-Laki",[1]DATABASE!$AE:$AE,"S1",[1]DATABASE!$AG:$AG,"TEKNIK RADIODIAGNOSTIK DAN RADIOTERAPI")</f>
        <v>0</v>
      </c>
      <c r="K122" s="8">
        <f t="shared" si="2"/>
        <v>0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8">
        <v>110</v>
      </c>
      <c r="B123" s="9" t="s">
        <v>113</v>
      </c>
      <c r="C123" s="8" t="s">
        <v>86</v>
      </c>
      <c r="D123" s="8">
        <f>COUNTIFS([1]DATABASE!$G:$G,"AKTIF",[1]DATABASE!$AW:$AW,"PNS",[1]DATABASE!$AE:$AE,"D4",[1]DATABASE!$AG:$AG,"TEKNIK RADIODIAGNOSTIK DAN RADIOTERAPI")</f>
        <v>0</v>
      </c>
      <c r="E123" s="8">
        <f>COUNTIFS([1]DATABASE!$G:$G,"AKTIF",[1]DATABASE!$AW:$AW,"APBD",[1]DATABASE!$AE:$AE,"D4",[1]DATABASE!$AG:$AG,"TEKNIK RADIODIAGNOSTIK DAN RADIOTERAPI")</f>
        <v>0</v>
      </c>
      <c r="F123" s="8">
        <f>COUNTIFS([1]DATABASE!$G:$G,"AKTIF",[1]DATABASE!$AW:$AW,"BLUD",[1]DATABASE!$AE:$AE,"D4",[1]DATABASE!$AG:$AG,"TEKNIK RADIODIAGNOSTIK DAN RADIOTERAPI")</f>
        <v>0</v>
      </c>
      <c r="G123" s="10">
        <f t="shared" si="36"/>
        <v>0</v>
      </c>
      <c r="H123" s="3"/>
      <c r="I123" s="8">
        <f>COUNTIFS([1]DATABASE!$G:$G,"AKTIF",[1]DATABASE!$N:$N,"Perempuan",[1]DATABASE!$AE:$AE,"D4",[1]DATABASE!$AG:$AG,"TEKNIK RADIODIAGNOSTIK DAN RADIOTERAPI")</f>
        <v>0</v>
      </c>
      <c r="J123" s="8">
        <f>COUNTIFS([1]DATABASE!$G:$G,"AKTIF",[1]DATABASE!$N:$N,"Laki-Laki",[1]DATABASE!$AE:$AE,"D4",[1]DATABASE!$AG:$AG,"TEKNIK RADIODIAGNOSTIK DAN RADIOTERAPI")</f>
        <v>0</v>
      </c>
      <c r="K123" s="8">
        <f t="shared" si="2"/>
        <v>0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8">
        <v>111</v>
      </c>
      <c r="B124" s="9" t="s">
        <v>113</v>
      </c>
      <c r="C124" s="8" t="s">
        <v>89</v>
      </c>
      <c r="D124" s="8">
        <f>COUNTIFS([1]DATABASE!$G:$G,"AKTIF",[1]DATABASE!$AW:$AW,"PNS",[1]DATABASE!$AE:$AE,"D3",[1]DATABASE!$AG:$AG,"TEKNIK RADIODIAGNOSTIK DAN RADIOTERAPI")</f>
        <v>5</v>
      </c>
      <c r="E124" s="8">
        <f>COUNTIFS([1]DATABASE!$G:$G,"AKTIF",[1]DATABASE!$AW:$AW,"APBD",[1]DATABASE!$AE:$AE,"D3",[1]DATABASE!$AG:$AG,"TEKNIK RADIODIAGNOSTIK DAN RADIOTERAPI")</f>
        <v>4</v>
      </c>
      <c r="F124" s="8">
        <f>COUNTIFS([1]DATABASE!$G:$G,"AKTIF",[1]DATABASE!$AW:$AW,"BLUD",[1]DATABASE!$AE:$AE,"D3",[1]DATABASE!$AG:$AG,"TEKNIK RADIODIAGNOSTIK DAN RADIOTERAPI")</f>
        <v>2</v>
      </c>
      <c r="G124" s="10">
        <f t="shared" si="36"/>
        <v>11</v>
      </c>
      <c r="H124" s="3"/>
      <c r="I124" s="8">
        <f>COUNTIFS([1]DATABASE!$G:$G,"AKTIF",[1]DATABASE!$N:$N,"Perempuan",[1]DATABASE!$AE:$AE,"D3",[1]DATABASE!$AG:$AG,"TEKNIK RADIODIAGNOSTIK DAN RADIOTERAPI")</f>
        <v>8</v>
      </c>
      <c r="J124" s="8">
        <f>COUNTIFS([1]DATABASE!$G:$G,"AKTIF",[1]DATABASE!$N:$N,"Laki-Laki",[1]DATABASE!$AE:$AE,"D3",[1]DATABASE!$AG:$AG,"TEKNIK RADIODIAGNOSTIK DAN RADIOTERAPI")</f>
        <v>3</v>
      </c>
      <c r="K124" s="8">
        <f t="shared" si="2"/>
        <v>11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5" t="s">
        <v>114</v>
      </c>
      <c r="B125" s="6"/>
      <c r="C125" s="6"/>
      <c r="D125" s="7">
        <f t="shared" ref="D125:G125" si="37">SUM(D126:D128)</f>
        <v>1</v>
      </c>
      <c r="E125" s="7">
        <f t="shared" si="37"/>
        <v>1</v>
      </c>
      <c r="F125" s="7">
        <f t="shared" si="37"/>
        <v>0</v>
      </c>
      <c r="G125" s="7">
        <f t="shared" si="37"/>
        <v>2</v>
      </c>
      <c r="H125" s="3"/>
      <c r="I125" s="7">
        <f t="shared" ref="I125:J125" si="38">SUM(I126:I128)</f>
        <v>1</v>
      </c>
      <c r="J125" s="7">
        <f t="shared" si="38"/>
        <v>1</v>
      </c>
      <c r="K125" s="7">
        <f t="shared" si="2"/>
        <v>2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8">
        <v>112</v>
      </c>
      <c r="B126" s="9" t="s">
        <v>115</v>
      </c>
      <c r="C126" s="8" t="s">
        <v>69</v>
      </c>
      <c r="D126" s="8">
        <f>COUNTIFS([1]DATABASE!$G:$G,"AKTIF",[1]DATABASE!$AW:$AW,"PNS",[1]DATABASE!$AE:$AE,"S1",[1]DATABASE!$AG:$AG,"REPRAKSI OPTIZIEN")</f>
        <v>0</v>
      </c>
      <c r="E126" s="8">
        <f>COUNTIFS([1]DATABASE!$G:$G,"AKTIF",[1]DATABASE!$AW:$AW,"APBD",[1]DATABASE!$AE:$AE,"S1",[1]DATABASE!$AG:$AG,"REPRAKSI OPTIZIEN")</f>
        <v>0</v>
      </c>
      <c r="F126" s="8">
        <f>COUNTIFS([1]DATABASE!$G:$G,"AKTIF",[1]DATABASE!$AW:$AW,"BLUD",[1]DATABASE!$AE:$AE,"S1",[1]DATABASE!$AG:$AG,"REPRAKSI OPTIZIEN")</f>
        <v>0</v>
      </c>
      <c r="G126" s="10">
        <f t="shared" ref="G126:G128" si="39">SUM(D126:F126)</f>
        <v>0</v>
      </c>
      <c r="H126" s="3"/>
      <c r="I126" s="8">
        <f>COUNTIFS([1]DATABASE!$G:$G,"AKTIF",[1]DATABASE!$N:$N,"Perempuan",[1]DATABASE!$AE:$AE,"S1",[1]DATABASE!$AG:$AG,"REPRAKSI OPTIZIEN")</f>
        <v>0</v>
      </c>
      <c r="J126" s="8">
        <f>COUNTIFS([1]DATABASE!$G:$G,"AKTIF",[1]DATABASE!$N:$N,"Laki-Laki",[1]DATABASE!$AE:$AE,"S1",[1]DATABASE!$AG:$AG,"REPRAKSI OPTIZIEN")</f>
        <v>0</v>
      </c>
      <c r="K126" s="8">
        <f t="shared" si="2"/>
        <v>0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8">
        <v>113</v>
      </c>
      <c r="B127" s="9" t="s">
        <v>115</v>
      </c>
      <c r="C127" s="8" t="s">
        <v>86</v>
      </c>
      <c r="D127" s="8">
        <f>COUNTIFS([1]DATABASE!$G:$G,"AKTIF",[1]DATABASE!$AW:$AW,"PNS",[1]DATABASE!$AE:$AE,"D4",[1]DATABASE!$AG:$AG,"REPRAKSI OPTIZIEN")</f>
        <v>0</v>
      </c>
      <c r="E127" s="8">
        <f>COUNTIFS([1]DATABASE!$G:$G,"AKTIF",[1]DATABASE!$AW:$AW,"APBD",[1]DATABASE!$AE:$AE,"D4",[1]DATABASE!$AG:$AG,"REPRAKSI OPTIZIEN")</f>
        <v>0</v>
      </c>
      <c r="F127" s="8">
        <f>COUNTIFS([1]DATABASE!$G:$G,"AKTIF",[1]DATABASE!$AW:$AW,"BLUD",[1]DATABASE!$AE:$AE,"D4",[1]DATABASE!$AG:$AG,"REPRAKSI OPTIZIEN")</f>
        <v>0</v>
      </c>
      <c r="G127" s="10">
        <f t="shared" si="39"/>
        <v>0</v>
      </c>
      <c r="H127" s="3"/>
      <c r="I127" s="8">
        <f>COUNTIFS([1]DATABASE!$G:$G,"AKTIF",[1]DATABASE!$N:$N,"Perempuan",[1]DATABASE!$AE:$AE,"D4",[1]DATABASE!$AG:$AG,"REPRAKSI OPTIZIEN")</f>
        <v>0</v>
      </c>
      <c r="J127" s="8">
        <f>COUNTIFS([1]DATABASE!$G:$G,"AKTIF",[1]DATABASE!$N:$N,"Laki-Laki",[1]DATABASE!$AE:$AE,"D4",[1]DATABASE!$AG:$AG,"REPRAKSI OPTIZIEN")</f>
        <v>0</v>
      </c>
      <c r="K127" s="8">
        <f t="shared" si="2"/>
        <v>0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8">
        <v>114</v>
      </c>
      <c r="B128" s="9" t="s">
        <v>115</v>
      </c>
      <c r="C128" s="8" t="s">
        <v>89</v>
      </c>
      <c r="D128" s="8">
        <f>COUNTIFS([1]DATABASE!$G:$G,"AKTIF",[1]DATABASE!$AW:$AW,"PNS",[1]DATABASE!$AE:$AE,"D3",[1]DATABASE!$AG:$AG,"REPRAKSI OPTIZIEN")</f>
        <v>1</v>
      </c>
      <c r="E128" s="8">
        <f>COUNTIFS([1]DATABASE!$G:$G,"AKTIF",[1]DATABASE!$AW:$AW,"APBD",[1]DATABASE!$AE:$AE,"D3",[1]DATABASE!$AG:$AG,"REPRAKSI OPTIZIEN")</f>
        <v>1</v>
      </c>
      <c r="F128" s="8">
        <f>COUNTIFS([1]DATABASE!$G:$G,"AKTIF",[1]DATABASE!$AW:$AW,"BLUD",[1]DATABASE!$AE:$AE,"D3",[1]DATABASE!$AG:$AG,"REPRAKSI OPTIZIEN")</f>
        <v>0</v>
      </c>
      <c r="G128" s="10">
        <f t="shared" si="39"/>
        <v>2</v>
      </c>
      <c r="H128" s="3"/>
      <c r="I128" s="8">
        <f>COUNTIFS([1]DATABASE!$G:$G,"AKTIF",[1]DATABASE!$N:$N,"Perempuan",[1]DATABASE!$AE:$AE,"D3",[1]DATABASE!$AG:$AG,"REPRAKSI OPTIZIEN")</f>
        <v>1</v>
      </c>
      <c r="J128" s="8">
        <f>COUNTIFS([1]DATABASE!$G:$G,"AKTIF",[1]DATABASE!$N:$N,"Laki-Laki",[1]DATABASE!$AE:$AE,"D3",[1]DATABASE!$AG:$AG,"REPRAKSI OPTIZIEN")</f>
        <v>1</v>
      </c>
      <c r="K128" s="8">
        <f t="shared" si="2"/>
        <v>2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5" t="s">
        <v>116</v>
      </c>
      <c r="B129" s="6"/>
      <c r="C129" s="6"/>
      <c r="D129" s="7">
        <f t="shared" ref="D129:G129" si="40">SUM(D130:D132)</f>
        <v>2</v>
      </c>
      <c r="E129" s="7">
        <f t="shared" si="40"/>
        <v>1</v>
      </c>
      <c r="F129" s="7">
        <f t="shared" si="40"/>
        <v>3</v>
      </c>
      <c r="G129" s="7">
        <f t="shared" si="40"/>
        <v>6</v>
      </c>
      <c r="H129" s="3"/>
      <c r="I129" s="7">
        <f t="shared" ref="I129:J129" si="41">SUM(I130:I132)</f>
        <v>5</v>
      </c>
      <c r="J129" s="7">
        <f t="shared" si="41"/>
        <v>1</v>
      </c>
      <c r="K129" s="7">
        <f t="shared" si="2"/>
        <v>6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8">
        <v>115</v>
      </c>
      <c r="B130" s="9" t="s">
        <v>117</v>
      </c>
      <c r="C130" s="8" t="s">
        <v>69</v>
      </c>
      <c r="D130" s="8">
        <f>COUNTIFS([1]DATABASE!$G:$G,"AKTIF",[1]DATABASE!$AW:$AW,"PNS",[1]DATABASE!$AE:$AE,"S1",[1]DATABASE!$AG:$AG,"REKAM MEDIS DAN INFORMASI KESEHATAN")</f>
        <v>0</v>
      </c>
      <c r="E130" s="8">
        <f>COUNTIFS([1]DATABASE!$G:$G,"AKTIF",[1]DATABASE!$AW:$AW,"APBD",[1]DATABASE!$AE:$AE,"S1",[1]DATABASE!$AG:$AG,"REKAM MEDIS DAN INFORMASI KESEHATAN")</f>
        <v>0</v>
      </c>
      <c r="F130" s="8">
        <f>COUNTIFS([1]DATABASE!$G:$G,"AKTIF",[1]DATABASE!$AW:$AW,"BLUD",[1]DATABASE!$AE:$AE,"S1",[1]DATABASE!$AG:$AG,"REKAM MEDIS DAN INFORMASI KESEHATAN")</f>
        <v>0</v>
      </c>
      <c r="G130" s="10">
        <f t="shared" ref="G130:G132" si="42">SUM(D130:F130)</f>
        <v>0</v>
      </c>
      <c r="H130" s="3"/>
      <c r="I130" s="8">
        <f>COUNTIFS([1]DATABASE!$G:$G,"AKTIF",[1]DATABASE!$N:$N,"Perempuan",[1]DATABASE!$AE:$AE,"S1",[1]DATABASE!$AG:$AG,"REKAM MEDIS DAN INFORMASI KESEHATAN")</f>
        <v>0</v>
      </c>
      <c r="J130" s="8">
        <f>COUNTIFS([1]DATABASE!$G:$G,"AKTIF",[1]DATABASE!$N:$N,"Laki-Laki",[1]DATABASE!$AE:$AE,"S1",[1]DATABASE!$AG:$AG,"REKAM MEDIS DAN INFORMASI KESEHATAN")</f>
        <v>0</v>
      </c>
      <c r="K130" s="8">
        <f t="shared" si="2"/>
        <v>0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8">
        <v>116</v>
      </c>
      <c r="B131" s="9" t="s">
        <v>117</v>
      </c>
      <c r="C131" s="8" t="s">
        <v>86</v>
      </c>
      <c r="D131" s="8">
        <f>COUNTIFS([1]DATABASE!$G:$G,"AKTIF",[1]DATABASE!$AW:$AW,"PNS",[1]DATABASE!$AE:$AE,"D4",[1]DATABASE!$AG:$AG,"REKAM MEDIS DAN INFORMASI KESEHATAN")</f>
        <v>0</v>
      </c>
      <c r="E131" s="8">
        <f>COUNTIFS([1]DATABASE!$G:$G,"AKTIF",[1]DATABASE!$AW:$AW,"APBD",[1]DATABASE!$AE:$AE,"D4",[1]DATABASE!$AG:$AG,"REKAM MEDIS DAN INFORMASI KESEHATAN")</f>
        <v>0</v>
      </c>
      <c r="F131" s="8">
        <f>COUNTIFS([1]DATABASE!$G:$G,"AKTIF",[1]DATABASE!$AW:$AW,"BLUD",[1]DATABASE!$AE:$AE,"D4",[1]DATABASE!$AG:$AG,"REKAM MEDIS DAN INFORMASI KESEHATAN")</f>
        <v>1</v>
      </c>
      <c r="G131" s="10">
        <f t="shared" si="42"/>
        <v>1</v>
      </c>
      <c r="H131" s="3"/>
      <c r="I131" s="8">
        <f>COUNTIFS([1]DATABASE!$G:$G,"AKTIF",[1]DATABASE!$N:$N,"Perempuan",[1]DATABASE!$AE:$AE,"D4",[1]DATABASE!$AG:$AG,"REKAM MEDIS DAN INFORMASI KESEHATAN")</f>
        <v>1</v>
      </c>
      <c r="J131" s="8">
        <f>COUNTIFS([1]DATABASE!$G:$G,"AKTIF",[1]DATABASE!$N:$N,"Laki-Laki",[1]DATABASE!$AE:$AE,"D4",[1]DATABASE!$AG:$AG,"REKAM MEDIS DAN INFORMASI KESEHATAN")</f>
        <v>0</v>
      </c>
      <c r="K131" s="8">
        <f t="shared" si="2"/>
        <v>1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8">
        <v>117</v>
      </c>
      <c r="B132" s="9" t="s">
        <v>117</v>
      </c>
      <c r="C132" s="8" t="s">
        <v>89</v>
      </c>
      <c r="D132" s="8">
        <f>COUNTIFS([1]DATABASE!$G:$G,"AKTIF",[1]DATABASE!$AW:$AW,"PNS",[1]DATABASE!$AE:$AE,"D3",[1]DATABASE!$AG:$AG,"REKAM MEDIS DAN INFORMASI KESEHATAN")</f>
        <v>2</v>
      </c>
      <c r="E132" s="8">
        <f>COUNTIFS([1]DATABASE!$G:$G,"AKTIF",[1]DATABASE!$AW:$AW,"APBD",[1]DATABASE!$AE:$AE,"D3",[1]DATABASE!$AG:$AG,"REKAM MEDIS DAN INFORMASI KESEHATAN")</f>
        <v>1</v>
      </c>
      <c r="F132" s="8">
        <f>COUNTIFS([1]DATABASE!$G:$G,"AKTIF",[1]DATABASE!$AW:$AW,"BLUD",[1]DATABASE!$AE:$AE,"D3",[1]DATABASE!$AG:$AG,"REKAM MEDIS DAN INFORMASI KESEHATAN")</f>
        <v>2</v>
      </c>
      <c r="G132" s="10">
        <f t="shared" si="42"/>
        <v>5</v>
      </c>
      <c r="H132" s="3"/>
      <c r="I132" s="8">
        <f>COUNTIFS([1]DATABASE!$G:$G,"AKTIF",[1]DATABASE!$N:$N,"Perempuan",[1]DATABASE!$AE:$AE,"D3",[1]DATABASE!$AG:$AG,"REKAM MEDIS DAN INFORMASI KESEHATAN")</f>
        <v>4</v>
      </c>
      <c r="J132" s="8">
        <f>COUNTIFS([1]DATABASE!$G:$G,"AKTIF",[1]DATABASE!$N:$N,"Laki-Laki",[1]DATABASE!$AE:$AE,"D3",[1]DATABASE!$AG:$AG,"REKAM MEDIS DAN INFORMASI KESEHATAN")</f>
        <v>1</v>
      </c>
      <c r="K132" s="8">
        <f t="shared" si="2"/>
        <v>5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5" t="s">
        <v>118</v>
      </c>
      <c r="B133" s="6"/>
      <c r="C133" s="6"/>
      <c r="D133" s="7">
        <f t="shared" ref="D133:G133" si="43">SUM(D134:D136)</f>
        <v>2</v>
      </c>
      <c r="E133" s="7">
        <f t="shared" si="43"/>
        <v>2</v>
      </c>
      <c r="F133" s="7">
        <f t="shared" si="43"/>
        <v>0</v>
      </c>
      <c r="G133" s="7">
        <f t="shared" si="43"/>
        <v>4</v>
      </c>
      <c r="H133" s="3"/>
      <c r="I133" s="7">
        <f t="shared" ref="I133:J133" si="44">SUM(I134:I136)</f>
        <v>1</v>
      </c>
      <c r="J133" s="7">
        <f t="shared" si="44"/>
        <v>3</v>
      </c>
      <c r="K133" s="7">
        <f t="shared" si="2"/>
        <v>4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8">
        <v>118</v>
      </c>
      <c r="B134" s="9" t="s">
        <v>119</v>
      </c>
      <c r="C134" s="8" t="s">
        <v>37</v>
      </c>
      <c r="D134" s="8">
        <f>COUNTIFS([1]DATABASE!$G:$G,"AKTIF",[1]DATABASE!$AW:$AW,"PNS",[1]DATABASE!$AE:$AE,"S2",[1]DATABASE!$AG:$AG,"HUKUM PIDANA")</f>
        <v>1</v>
      </c>
      <c r="E134" s="8">
        <f>COUNTIFS([1]DATABASE!$G:$G,"AKTIF",[1]DATABASE!$AW:$AW,"APBD",[1]DATABASE!$AE:$AE,"S2",[1]DATABASE!$AG:$AG,"HUKUM PIDANA")</f>
        <v>0</v>
      </c>
      <c r="F134" s="8">
        <f>COUNTIFS([1]DATABASE!$G:$G,"AKTIF",[1]DATABASE!$AW:$AW,"BLUD",[1]DATABASE!$AE:$AE,"S2",[1]DATABASE!$AG:$AG,"HUKUM PIDANA")</f>
        <v>0</v>
      </c>
      <c r="G134" s="10">
        <f t="shared" ref="G134:G136" si="45">SUM(D134:F134)</f>
        <v>1</v>
      </c>
      <c r="H134" s="3"/>
      <c r="I134" s="8">
        <f>COUNTIFS([1]DATABASE!$G:$G,"AKTIF",[1]DATABASE!$N:$N,"Perempuan",[1]DATABASE!$AE:$AE,"S2",[1]DATABASE!$AG:$AG,"HUKUM PIDANA")</f>
        <v>1</v>
      </c>
      <c r="J134" s="8">
        <f>COUNTIFS([1]DATABASE!$G:$G,"AKTIF",[1]DATABASE!$N:$N,"Laki-Laki",[1]DATABASE!$AE:$AE,"S2",[1]DATABASE!$AG:$AG,"HUKUM PIDANA")</f>
        <v>0</v>
      </c>
      <c r="K134" s="8">
        <f t="shared" si="2"/>
        <v>1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8">
        <v>119</v>
      </c>
      <c r="B135" s="9" t="s">
        <v>120</v>
      </c>
      <c r="C135" s="8" t="s">
        <v>69</v>
      </c>
      <c r="D135" s="8">
        <f>COUNTIFS([1]DATABASE!$G:$G,"AKTIF",[1]DATABASE!$AW:$AW,"PNS",[1]DATABASE!$AE:$AE,"S1",[1]DATABASE!$AG:$AG,"HUKUM")</f>
        <v>1</v>
      </c>
      <c r="E135" s="8">
        <f>COUNTIFS([1]DATABASE!$G:$G,"AKTIF",[1]DATABASE!$AW:$AW,"APBD",[1]DATABASE!$AE:$AE,"S1",[1]DATABASE!$AG:$AG,"HUKUM")</f>
        <v>1</v>
      </c>
      <c r="F135" s="8">
        <f>COUNTIFS([1]DATABASE!$G:$G,"AKTIF",[1]DATABASE!$AW:$AW,"BLUD",[1]DATABASE!$AE:$AE,"S1",[1]DATABASE!$AG:$AG,"HUKUM")</f>
        <v>0</v>
      </c>
      <c r="G135" s="10">
        <f t="shared" si="45"/>
        <v>2</v>
      </c>
      <c r="H135" s="3"/>
      <c r="I135" s="8">
        <f>COUNTIFS([1]DATABASE!$G:$G,"AKTIF",[1]DATABASE!$N:$N,"Perempuan",[1]DATABASE!$AE:$AE,"S1",[1]DATABASE!$AG:$AG,"HUKUM")</f>
        <v>0</v>
      </c>
      <c r="J135" s="8">
        <f>COUNTIFS([1]DATABASE!$G:$G,"AKTIF",[1]DATABASE!$N:$N,"Laki-Laki",[1]DATABASE!$AE:$AE,"S1",[1]DATABASE!$AG:$AG,"HUKUM")</f>
        <v>2</v>
      </c>
      <c r="K135" s="8">
        <f t="shared" si="2"/>
        <v>2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8">
        <v>120</v>
      </c>
      <c r="B136" s="9" t="s">
        <v>121</v>
      </c>
      <c r="C136" s="8" t="s">
        <v>69</v>
      </c>
      <c r="D136" s="8">
        <f>COUNTIFS([1]DATABASE!$G:$G,"AKTIF",[1]DATABASE!$AW:$AW,"PNS",[1]DATABASE!$AE:$AE,"S1",[1]DATABASE!$AG:$AG,"HUKUM ISLAM")</f>
        <v>0</v>
      </c>
      <c r="E136" s="8">
        <f>COUNTIFS([1]DATABASE!$G:$G,"AKTIF",[1]DATABASE!$AW:$AW,"APBD",[1]DATABASE!$AE:$AE,"S1",[1]DATABASE!$AG:$AG,"HUKUM ISLAM")</f>
        <v>1</v>
      </c>
      <c r="F136" s="8">
        <f>COUNTIFS([1]DATABASE!$G:$G,"AKTIF",[1]DATABASE!$AW:$AW,"BLUD",[1]DATABASE!$AE:$AE,"S1",[1]DATABASE!$AG:$AG,"HUKUM ISLAM")</f>
        <v>0</v>
      </c>
      <c r="G136" s="10">
        <f t="shared" si="45"/>
        <v>1</v>
      </c>
      <c r="H136" s="3"/>
      <c r="I136" s="8">
        <f>COUNTIFS([1]DATABASE!$G:$G,"AKTIF",[1]DATABASE!$N:$N,"Perempuan",[1]DATABASE!$AE:$AE,"S1",[1]DATABASE!$AG:$AG,"HUKUM ISLAM")</f>
        <v>0</v>
      </c>
      <c r="J136" s="8">
        <f>COUNTIFS([1]DATABASE!$G:$G,"AKTIF",[1]DATABASE!$N:$N,"Laki-Laki",[1]DATABASE!$AE:$AE,"S1",[1]DATABASE!$AG:$AG,"HUKUM ISLAM")</f>
        <v>1</v>
      </c>
      <c r="K136" s="8">
        <f t="shared" si="2"/>
        <v>1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5" t="s">
        <v>122</v>
      </c>
      <c r="B137" s="6"/>
      <c r="C137" s="6"/>
      <c r="D137" s="7">
        <f t="shared" ref="D137:G137" si="46">SUM(D138:D140)</f>
        <v>2</v>
      </c>
      <c r="E137" s="7">
        <f t="shared" si="46"/>
        <v>1</v>
      </c>
      <c r="F137" s="7">
        <f t="shared" si="46"/>
        <v>0</v>
      </c>
      <c r="G137" s="7">
        <f t="shared" si="46"/>
        <v>3</v>
      </c>
      <c r="H137" s="3"/>
      <c r="I137" s="7">
        <f t="shared" ref="I137:J137" si="47">SUM(I138:I140)</f>
        <v>1</v>
      </c>
      <c r="J137" s="7">
        <f t="shared" si="47"/>
        <v>2</v>
      </c>
      <c r="K137" s="7">
        <f t="shared" si="2"/>
        <v>3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8">
        <v>121</v>
      </c>
      <c r="B138" s="9" t="s">
        <v>123</v>
      </c>
      <c r="C138" s="8" t="s">
        <v>69</v>
      </c>
      <c r="D138" s="8">
        <f>COUNTIFS([1]DATABASE!$G:$G,"AKTIF",[1]DATABASE!$AW:$AW,"PNS",[1]DATABASE!$AE:$AE,"S1",[1]DATABASE!$AG:$AG,"TEKNIK")</f>
        <v>0</v>
      </c>
      <c r="E138" s="8">
        <f>COUNTIFS([1]DATABASE!$G:$G,"AKTIF",[1]DATABASE!$AW:$AW,"APBD",[1]DATABASE!$AE:$AE,"S1",[1]DATABASE!$AG:$AG,"TEKNIK")</f>
        <v>1</v>
      </c>
      <c r="F138" s="8">
        <f>COUNTIFS([1]DATABASE!$G:$G,"AKTIF",[1]DATABASE!$AW:$AW,"BLUD",[1]DATABASE!$AE:$AE,"S1",[1]DATABASE!$AG:$AG,"TEKNIK")</f>
        <v>0</v>
      </c>
      <c r="G138" s="10">
        <f t="shared" ref="G138:G140" si="48">SUM(D138:F138)</f>
        <v>1</v>
      </c>
      <c r="H138" s="3"/>
      <c r="I138" s="8">
        <f>COUNTIFS([1]DATABASE!$G:$G,"AKTIF",[1]DATABASE!$N:$N,"Perempuan",[1]DATABASE!$AE:$AE,"S1",[1]DATABASE!$AG:$AG,"TEKNIK")</f>
        <v>0</v>
      </c>
      <c r="J138" s="8">
        <f>COUNTIFS([1]DATABASE!$G:$G,"AKTIF",[1]DATABASE!$N:$N,"Laki-Laki",[1]DATABASE!$AE:$AE,"S1",[1]DATABASE!$AG:$AG,"TEKNIK")</f>
        <v>1</v>
      </c>
      <c r="K138" s="8">
        <f t="shared" si="2"/>
        <v>1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8">
        <v>122</v>
      </c>
      <c r="B139" s="9" t="s">
        <v>124</v>
      </c>
      <c r="C139" s="8" t="s">
        <v>69</v>
      </c>
      <c r="D139" s="8">
        <f>COUNTIFS([1]DATABASE!$G:$G,"AKTIF",[1]DATABASE!$AW:$AW,"PNS",[1]DATABASE!$AE:$AE,"S1",[1]DATABASE!$AG:$AG,"TEKNIK TELEKOMUNIKASI")</f>
        <v>1</v>
      </c>
      <c r="E139" s="8">
        <f>COUNTIFS([1]DATABASE!$G:$G,"AKTIF",[1]DATABASE!$AW:$AW,"APBD",[1]DATABASE!$AE:$AE,"S1",[1]DATABASE!$AG:$AG,"TEKNIK TELEKOMUNIKASI")</f>
        <v>0</v>
      </c>
      <c r="F139" s="8">
        <f>COUNTIFS([1]DATABASE!$G:$G,"AKTIF",[1]DATABASE!$AW:$AW,"BLUD",[1]DATABASE!$AE:$AE,"S1",[1]DATABASE!$AG:$AG,"TEKNIK TELEKOMUNIKASI")</f>
        <v>0</v>
      </c>
      <c r="G139" s="10">
        <f t="shared" si="48"/>
        <v>1</v>
      </c>
      <c r="H139" s="3"/>
      <c r="I139" s="8">
        <f>COUNTIFS([1]DATABASE!$G:$G,"AKTIF",[1]DATABASE!$N:$N,"Perempuan",[1]DATABASE!$AE:$AE,"S1",[1]DATABASE!$AG:$AG,"TEKNIK TELEKOMUNIKASI")</f>
        <v>0</v>
      </c>
      <c r="J139" s="8">
        <f>COUNTIFS([1]DATABASE!$G:$G,"AKTIF",[1]DATABASE!$N:$N,"Laki-Laki",[1]DATABASE!$AE:$AE,"S1",[1]DATABASE!$AG:$AG,"TEKNIK TELEKOMUNIKASI")</f>
        <v>1</v>
      </c>
      <c r="K139" s="8">
        <f t="shared" si="2"/>
        <v>1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8">
        <v>123</v>
      </c>
      <c r="B140" s="9" t="s">
        <v>125</v>
      </c>
      <c r="C140" s="8" t="s">
        <v>69</v>
      </c>
      <c r="D140" s="8">
        <f>COUNTIFS([1]DATABASE!$G:$G,"AKTIF",[1]DATABASE!$AW:$AW,"PNS",[1]DATABASE!$AE:$AE,"S1",[1]DATABASE!$AG:$AG,"TEKNIK ELEKTRONIKA")</f>
        <v>1</v>
      </c>
      <c r="E140" s="8">
        <f>COUNTIFS([1]DATABASE!$G:$G,"AKTIF",[1]DATABASE!$AW:$AW,"APBD",[1]DATABASE!$AE:$AE,"S1",[1]DATABASE!$AG:$AG,"TEKNIK ELEKTRONIKA")</f>
        <v>0</v>
      </c>
      <c r="F140" s="8">
        <f>COUNTIFS([1]DATABASE!$G:$G,"AKTIF",[1]DATABASE!$AW:$AW,"BLUD",[1]DATABASE!$AE:$AE,"S1",[1]DATABASE!$AG:$AG,"TEKNIK ELEKTRONIKA")</f>
        <v>0</v>
      </c>
      <c r="G140" s="10">
        <f t="shared" si="48"/>
        <v>1</v>
      </c>
      <c r="H140" s="3"/>
      <c r="I140" s="8">
        <f>COUNTIFS([1]DATABASE!$G:$G,"AKTIF",[1]DATABASE!$N:$N,"Perempuan",[1]DATABASE!$AE:$AE,"S1",[1]DATABASE!$AG:$AG,"TEKNIK ELEKTRONIKA")</f>
        <v>1</v>
      </c>
      <c r="J140" s="8">
        <f>COUNTIFS([1]DATABASE!$G:$G,"AKTIF",[1]DATABASE!$N:$N,"Laki-Laki",[1]DATABASE!$AE:$AE,"S1",[1]DATABASE!$AG:$AG,"TEKNIK ELEKTRONIKA")</f>
        <v>0</v>
      </c>
      <c r="K140" s="8">
        <f t="shared" si="2"/>
        <v>1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5" t="s">
        <v>126</v>
      </c>
      <c r="B141" s="6"/>
      <c r="C141" s="6"/>
      <c r="D141" s="7">
        <f t="shared" ref="D141:G141" si="49">SUM(D142:D150)</f>
        <v>0</v>
      </c>
      <c r="E141" s="7">
        <f t="shared" si="49"/>
        <v>25</v>
      </c>
      <c r="F141" s="7">
        <f t="shared" si="49"/>
        <v>6</v>
      </c>
      <c r="G141" s="7">
        <f t="shared" si="49"/>
        <v>31</v>
      </c>
      <c r="H141" s="3"/>
      <c r="I141" s="7">
        <f t="shared" ref="I141:J141" si="50">SUM(I142:I150)</f>
        <v>14</v>
      </c>
      <c r="J141" s="7">
        <f t="shared" si="50"/>
        <v>17</v>
      </c>
      <c r="K141" s="7">
        <f t="shared" si="2"/>
        <v>31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8">
        <v>124</v>
      </c>
      <c r="B142" s="9" t="s">
        <v>127</v>
      </c>
      <c r="C142" s="8" t="s">
        <v>69</v>
      </c>
      <c r="D142" s="8">
        <f>COUNTIFS([1]DATABASE!$G:$G,"AKTIF",[1]DATABASE!$AW:$AW,"PNS",[1]DATABASE!$AE:$AE,"S1",[1]DATABASE!$AG:$AG,"ILMU KOMUNIKASI")</f>
        <v>0</v>
      </c>
      <c r="E142" s="8">
        <f>COUNTIFS([1]DATABASE!$G:$G,"AKTIF",[1]DATABASE!$AW:$AW,"APBD",[1]DATABASE!$AE:$AE,"S1",[1]DATABASE!$AG:$AG,"ILMU KOMUNIKASI")</f>
        <v>1</v>
      </c>
      <c r="F142" s="8">
        <f>COUNTIFS([1]DATABASE!$G:$G,"AKTIF",[1]DATABASE!$AW:$AW,"BLUD",[1]DATABASE!$AE:$AE,"S1",[1]DATABASE!$AG:$AG,"ILMU KOMUNIKASI")</f>
        <v>0</v>
      </c>
      <c r="G142" s="10">
        <f t="shared" ref="G142:G150" si="51">SUM(D142:F142)</f>
        <v>1</v>
      </c>
      <c r="H142" s="3"/>
      <c r="I142" s="8">
        <f>COUNTIFS([1]DATABASE!$G:$G,"AKTIF",[1]DATABASE!$N:$N,"Perempuan",[1]DATABASE!$AE:$AE,"S1",[1]DATABASE!$AG:$AG,"ILMU KOMUNIKASI")</f>
        <v>0</v>
      </c>
      <c r="J142" s="8">
        <f>COUNTIFS([1]DATABASE!$G:$G,"AKTIF",[1]DATABASE!$N:$N,"Laki-Laki",[1]DATABASE!$AE:$AE,"S1",[1]DATABASE!$AG:$AG,"ILMU KOMUNIKASI")</f>
        <v>1</v>
      </c>
      <c r="K142" s="8">
        <f t="shared" si="2"/>
        <v>1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8">
        <v>125</v>
      </c>
      <c r="B143" s="9" t="s">
        <v>128</v>
      </c>
      <c r="C143" s="8" t="s">
        <v>69</v>
      </c>
      <c r="D143" s="8">
        <f>COUNTIFS([1]DATABASE!$G:$G,"AKTIF",[1]DATABASE!$AW:$AW,"PNS",[1]DATABASE!$AE:$AE,"S1",[1]DATABASE!$AG:$AG,"SISTEM INFORMASI")</f>
        <v>0</v>
      </c>
      <c r="E143" s="8">
        <f>COUNTIFS([1]DATABASE!$G:$G,"AKTIF",[1]DATABASE!$AW:$AW,"APBD",[1]DATABASE!$AE:$AE,"S1",[1]DATABASE!$AG:$AG,"SISTEM INFORMASI")</f>
        <v>6</v>
      </c>
      <c r="F143" s="8">
        <f>COUNTIFS([1]DATABASE!$G:$G,"AKTIF",[1]DATABASE!$AW:$AW,"BLUD",[1]DATABASE!$AE:$AE,"S1",[1]DATABASE!$AG:$AG,"SISTEM INFORMASI")</f>
        <v>1</v>
      </c>
      <c r="G143" s="10">
        <f t="shared" si="51"/>
        <v>7</v>
      </c>
      <c r="H143" s="3"/>
      <c r="I143" s="8">
        <f>COUNTIFS([1]DATABASE!$G:$G,"AKTIF",[1]DATABASE!$N:$N,"Perempuan",[1]DATABASE!$AE:$AE,"S1",[1]DATABASE!$AG:$AG,"SISTEM INFORMASI")</f>
        <v>6</v>
      </c>
      <c r="J143" s="8">
        <f>COUNTIFS([1]DATABASE!$G:$G,"AKTIF",[1]DATABASE!$N:$N,"Laki-Laki",[1]DATABASE!$AE:$AE,"S1",[1]DATABASE!$AG:$AG,"SISTEM INFORMASI")</f>
        <v>1</v>
      </c>
      <c r="K143" s="8">
        <f t="shared" si="2"/>
        <v>7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8">
        <v>126</v>
      </c>
      <c r="B144" s="9" t="s">
        <v>129</v>
      </c>
      <c r="C144" s="8" t="s">
        <v>69</v>
      </c>
      <c r="D144" s="8">
        <f>COUNTIFS([1]DATABASE!$G:$G,"AKTIF",[1]DATABASE!$AW:$AW,"PNS",[1]DATABASE!$AE:$AE,"S1",[1]DATABASE!$AG:$AG,"TEKNIK INFORMATIKA")</f>
        <v>0</v>
      </c>
      <c r="E144" s="8">
        <f>COUNTIFS([1]DATABASE!$G:$G,"AKTIF",[1]DATABASE!$AW:$AW,"APBD",[1]DATABASE!$AE:$AE,"S1",[1]DATABASE!$AG:$AG,"TEKNIK INFORMATIKA")</f>
        <v>13</v>
      </c>
      <c r="F144" s="8">
        <f>COUNTIFS([1]DATABASE!$G:$G,"AKTIF",[1]DATABASE!$AW:$AW,"BLUD",[1]DATABASE!$AE:$AE,"S1",[1]DATABASE!$AG:$AG,"TEKNIK INFORMATIKA")</f>
        <v>2</v>
      </c>
      <c r="G144" s="10">
        <f t="shared" si="51"/>
        <v>15</v>
      </c>
      <c r="H144" s="3"/>
      <c r="I144" s="8">
        <f>COUNTIFS([1]DATABASE!$G:$G,"AKTIF",[1]DATABASE!$N:$N,"Perempuan",[1]DATABASE!$AE:$AE,"S1",[1]DATABASE!$AG:$AG,"TEKNIK INFORMATIKA")</f>
        <v>4</v>
      </c>
      <c r="J144" s="8">
        <f>COUNTIFS([1]DATABASE!$G:$G,"AKTIF",[1]DATABASE!$N:$N,"Laki-Laki",[1]DATABASE!$AE:$AE,"S1",[1]DATABASE!$AG:$AG,"TEKNIK INFORMATIKA")</f>
        <v>11</v>
      </c>
      <c r="K144" s="8">
        <f t="shared" si="2"/>
        <v>15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8">
        <v>127</v>
      </c>
      <c r="B145" s="9" t="s">
        <v>130</v>
      </c>
      <c r="C145" s="8" t="s">
        <v>131</v>
      </c>
      <c r="D145" s="8">
        <f>COUNTIFS([1]DATABASE!$G:$G,"AKTIF",[1]DATABASE!$AW:$AW,"PNS",[1]DATABASE!$AE:$AE,"D3",[1]DATABASE!$AG:$AG,"KOMPUTERISASI AKUTANSI")</f>
        <v>0</v>
      </c>
      <c r="E145" s="8">
        <f>COUNTIFS([1]DATABASE!$G:$G,"AKTIF",[1]DATABASE!$AW:$AW,"APBD",[1]DATABASE!$AE:$AE,"D3",[1]DATABASE!$AG:$AG,"KOMPUTERISASI AKUTANSI")</f>
        <v>1</v>
      </c>
      <c r="F145" s="8">
        <f>COUNTIFS([1]DATABASE!$G:$G,"AKTIF",[1]DATABASE!$AW:$AW,"BLUD",[1]DATABASE!$AE:$AE,"D3",[1]DATABASE!$AG:$AG,"KOMPUTERISASI AKUTANSI")</f>
        <v>0</v>
      </c>
      <c r="G145" s="10">
        <f t="shared" si="51"/>
        <v>1</v>
      </c>
      <c r="H145" s="3"/>
      <c r="I145" s="8">
        <f>COUNTIFS([1]DATABASE!$G:$G,"AKTIF",[1]DATABASE!$N:$N,"Perempuan",[1]DATABASE!$AE:$AE,"D3",[1]DATABASE!$AG:$AG,"KOMPUTERISASI AKUTANSI")</f>
        <v>0</v>
      </c>
      <c r="J145" s="8">
        <f>COUNTIFS([1]DATABASE!$G:$G,"AKTIF",[1]DATABASE!$N:$N,"Laki-Laki",[1]DATABASE!$AE:$AE,"D3",[1]DATABASE!$AG:$AG,"KOMPUTERISASI AKUTANSI")</f>
        <v>1</v>
      </c>
      <c r="K145" s="8">
        <f t="shared" si="2"/>
        <v>1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8">
        <v>128</v>
      </c>
      <c r="B146" s="9" t="s">
        <v>132</v>
      </c>
      <c r="C146" s="8" t="s">
        <v>131</v>
      </c>
      <c r="D146" s="8">
        <f>COUNTIFS([1]DATABASE!$G:$G,"AKTIF",[1]DATABASE!$AW:$AW,"PNS",[1]DATABASE!$AE:$AE,"D3",[1]DATABASE!$AG:$AG,"MANAJEMEN INFORMATIKA DAN KOMPUTER")</f>
        <v>0</v>
      </c>
      <c r="E146" s="8">
        <f>COUNTIFS([1]DATABASE!$G:$G,"AKTIF",[1]DATABASE!$AW:$AW,"APBD",[1]DATABASE!$AE:$AE,"D3",[1]DATABASE!$AG:$AG,"MANAJEMEN INFORMATIKA DAN KOMPUTER")</f>
        <v>3</v>
      </c>
      <c r="F146" s="8">
        <f>COUNTIFS([1]DATABASE!$G:$G,"AKTIF",[1]DATABASE!$AW:$AW,"BLUD",[1]DATABASE!$AE:$AE,"D3",[1]DATABASE!$AG:$AG,"MANAJEMEN INFORMATIKA DAN KOMPUTER")</f>
        <v>0</v>
      </c>
      <c r="G146" s="10">
        <f t="shared" si="51"/>
        <v>3</v>
      </c>
      <c r="H146" s="3"/>
      <c r="I146" s="8">
        <f>COUNTIFS([1]DATABASE!$G:$G,"AKTIF",[1]DATABASE!$N:$N,"Perempuan",[1]DATABASE!$AE:$AE,"D3",[1]DATABASE!$AG:$AG,"MANAJEMEN INFORMATIKA DAN KOMPUTER")</f>
        <v>3</v>
      </c>
      <c r="J146" s="8">
        <f>COUNTIFS([1]DATABASE!$G:$G,"AKTIF",[1]DATABASE!$N:$N,"Laki-Laki",[1]DATABASE!$AE:$AE,"D3",[1]DATABASE!$AG:$AG,"MANAJEMEN INFORMATIKA DAN KOMPUTER")</f>
        <v>0</v>
      </c>
      <c r="K146" s="8">
        <f t="shared" si="2"/>
        <v>3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8">
        <v>129</v>
      </c>
      <c r="B147" s="9" t="s">
        <v>133</v>
      </c>
      <c r="C147" s="8" t="s">
        <v>131</v>
      </c>
      <c r="D147" s="8">
        <f>COUNTIFS([1]DATABASE!$G:$G,"AKTIF",[1]DATABASE!$AW:$AW,"PNS",[1]DATABASE!$AE:$AE,"D3",[1]DATABASE!$AG:$AG,"TEKNIK KOMPUTER")</f>
        <v>0</v>
      </c>
      <c r="E147" s="8">
        <f>COUNTIFS([1]DATABASE!$G:$G,"AKTIF",[1]DATABASE!$AW:$AW,"APBD",[1]DATABASE!$AE:$AE,"D3",[1]DATABASE!$AG:$AG,"TEKNIK KOMPUTER")</f>
        <v>1</v>
      </c>
      <c r="F147" s="8">
        <f>COUNTIFS([1]DATABASE!$G:$G,"AKTIF",[1]DATABASE!$AW:$AW,"BLUD",[1]DATABASE!$AE:$AE,"D3",[1]DATABASE!$AG:$AG,"TEKNIK KOMPUTER")</f>
        <v>0</v>
      </c>
      <c r="G147" s="10">
        <f t="shared" si="51"/>
        <v>1</v>
      </c>
      <c r="H147" s="3"/>
      <c r="I147" s="8">
        <f>COUNTIFS([1]DATABASE!$G:$G,"AKTIF",[1]DATABASE!$N:$N,"Perempuan",[1]DATABASE!$AE:$AE,"D3",[1]DATABASE!$AG:$AG,"TEKNIK KOMPUTER")</f>
        <v>0</v>
      </c>
      <c r="J147" s="8">
        <f>COUNTIFS([1]DATABASE!$G:$G,"AKTIF",[1]DATABASE!$N:$N,"Laki-Laki",[1]DATABASE!$AE:$AE,"D3",[1]DATABASE!$AG:$AG,"TEKNIK KOMPUTER")</f>
        <v>1</v>
      </c>
      <c r="K147" s="8">
        <f t="shared" si="2"/>
        <v>1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8">
        <v>130</v>
      </c>
      <c r="B148" s="9" t="s">
        <v>134</v>
      </c>
      <c r="C148" s="8" t="s">
        <v>131</v>
      </c>
      <c r="D148" s="8">
        <f>COUNTIFS([1]DATABASE!$G:$G,"AKTIF",[1]DATABASE!$AW:$AW,"PNS",[1]DATABASE!$AE:$AE,"D3",[1]DATABASE!$AG:$AG,"TEKNIK KOMPUTER DAN INFORMATIKA")</f>
        <v>0</v>
      </c>
      <c r="E148" s="8">
        <f>COUNTIFS([1]DATABASE!$G:$G,"AKTIF",[1]DATABASE!$AW:$AW,"APBD",[1]DATABASE!$AE:$AE,"D3",[1]DATABASE!$AG:$AG,"TEKNIK KOMPUTER DAN INFORMATIKA")</f>
        <v>0</v>
      </c>
      <c r="F148" s="8">
        <f>COUNTIFS([1]DATABASE!$G:$G,"AKTIF",[1]DATABASE!$AW:$AW,"BLUD",[1]DATABASE!$AE:$AE,"D3",[1]DATABASE!$AG:$AG,"TEKNIK KOMPUTER DAN INFORMATIKA")</f>
        <v>1</v>
      </c>
      <c r="G148" s="10">
        <f t="shared" si="51"/>
        <v>1</v>
      </c>
      <c r="H148" s="3"/>
      <c r="I148" s="8">
        <f>COUNTIFS([1]DATABASE!$G:$G,"AKTIF",[1]DATABASE!$N:$N,"Perempuan",[1]DATABASE!$AE:$AE,"D3",[1]DATABASE!$AG:$AG,"TEKNIK KOMPUTER DAN INFORMATIKA")</f>
        <v>0</v>
      </c>
      <c r="J148" s="8">
        <f>COUNTIFS([1]DATABASE!$G:$G,"AKTIF",[1]DATABASE!$N:$N,"Laki-Laki",[1]DATABASE!$AE:$AE,"D3",[1]DATABASE!$AG:$AG,"TEKNIK KOMPUTER DAN INFORMATIKA")</f>
        <v>1</v>
      </c>
      <c r="K148" s="8">
        <f t="shared" si="2"/>
        <v>1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8">
        <v>131</v>
      </c>
      <c r="B149" s="9" t="s">
        <v>128</v>
      </c>
      <c r="C149" s="8" t="s">
        <v>135</v>
      </c>
      <c r="D149" s="8">
        <f>COUNTIFS([1]DATABASE!$G:$G,"AKTIF",[1]DATABASE!$AW:$AW,"PNS",[1]DATABASE!$AE:$AE,"D1",[1]DATABASE!$AG:$AG,"SISTEM INFORMASI")</f>
        <v>0</v>
      </c>
      <c r="E149" s="8">
        <f>COUNTIFS([1]DATABASE!$G:$G,"AKTIF",[1]DATABASE!$AW:$AW,"APBD",[1]DATABASE!$AE:$AE,"D1",[1]DATABASE!$AG:$AG,"SISTEM INFORMASI")</f>
        <v>0</v>
      </c>
      <c r="F149" s="8">
        <f>COUNTIFS([1]DATABASE!$G:$G,"AKTIF",[1]DATABASE!$AW:$AW,"BLUD",[1]DATABASE!$AE:$AE,"D1",[1]DATABASE!$AG:$AG,"SISTEM INFORMASI")</f>
        <v>1</v>
      </c>
      <c r="G149" s="10">
        <f t="shared" si="51"/>
        <v>1</v>
      </c>
      <c r="H149" s="3"/>
      <c r="I149" s="8">
        <f>COUNTIFS([1]DATABASE!$G:$G,"AKTIF",[1]DATABASE!$N:$N,"Perempuan",[1]DATABASE!$AE:$AE,"D1",[1]DATABASE!$AG:$AG,"SISTEM INFORMASI")</f>
        <v>1</v>
      </c>
      <c r="J149" s="8">
        <f>COUNTIFS([1]DATABASE!$G:$G,"AKTIF",[1]DATABASE!$N:$N,"Laki-Laki",[1]DATABASE!$AE:$AE,"D1",[1]DATABASE!$AG:$AG,"SISTEM INFORMASI")</f>
        <v>0</v>
      </c>
      <c r="K149" s="8">
        <f t="shared" si="2"/>
        <v>1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8">
        <v>132</v>
      </c>
      <c r="B150" s="9" t="s">
        <v>132</v>
      </c>
      <c r="C150" s="8" t="s">
        <v>135</v>
      </c>
      <c r="D150" s="8">
        <f>COUNTIFS([1]DATABASE!$G:$G,"AKTIF",[1]DATABASE!$AW:$AW,"PNS",[1]DATABASE!$AE:$AE,"D1",[1]DATABASE!$AG:$AG,"MANAJEMEN INFORMATIKA DAN KOMPUTER")</f>
        <v>0</v>
      </c>
      <c r="E150" s="8">
        <f>COUNTIFS([1]DATABASE!$G:$G,"AKTIF",[1]DATABASE!$AW:$AW,"APBD",[1]DATABASE!$AE:$AE,"D1",[1]DATABASE!$AG:$AG,"MANAJEMEN INFORMATIKA DAN KOMPUTER")</f>
        <v>0</v>
      </c>
      <c r="F150" s="8">
        <f>COUNTIFS([1]DATABASE!$G:$G,"AKTIF",[1]DATABASE!$AW:$AW,"BLUD",[1]DATABASE!$AE:$AE,"D1",[1]DATABASE!$AG:$AG,"MANAJEMEN INFORMATIKA DAN KOMPUTER")</f>
        <v>1</v>
      </c>
      <c r="G150" s="10">
        <f t="shared" si="51"/>
        <v>1</v>
      </c>
      <c r="H150" s="3"/>
      <c r="I150" s="8">
        <f>COUNTIFS([1]DATABASE!$G:$G,"AKTIF",[1]DATABASE!$N:$N,"Perempuan",[1]DATABASE!$AE:$AE,"D1",[1]DATABASE!$AG:$AG,"MANAJEMEN INFORMATIKA DAN KOMPUTER")</f>
        <v>0</v>
      </c>
      <c r="J150" s="8">
        <f>COUNTIFS([1]DATABASE!$G:$G,"AKTIF",[1]DATABASE!$N:$N,"Laki-Laki",[1]DATABASE!$AE:$AE,"D1",[1]DATABASE!$AG:$AG,"MANAJEMEN INFORMATIKA DAN KOMPUTER")</f>
        <v>1</v>
      </c>
      <c r="K150" s="8">
        <f t="shared" si="2"/>
        <v>1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5" t="s">
        <v>136</v>
      </c>
      <c r="B151" s="6"/>
      <c r="C151" s="6"/>
      <c r="D151" s="7">
        <f t="shared" ref="D151:G151" si="52">SUM(D152)</f>
        <v>2</v>
      </c>
      <c r="E151" s="7">
        <f t="shared" si="52"/>
        <v>0</v>
      </c>
      <c r="F151" s="7">
        <f t="shared" si="52"/>
        <v>0</v>
      </c>
      <c r="G151" s="7">
        <f t="shared" si="52"/>
        <v>2</v>
      </c>
      <c r="H151" s="3"/>
      <c r="I151" s="7">
        <f t="shared" ref="I151:J151" si="53">SUM(I152)</f>
        <v>2</v>
      </c>
      <c r="J151" s="7">
        <f t="shared" si="53"/>
        <v>0</v>
      </c>
      <c r="K151" s="7">
        <f t="shared" si="2"/>
        <v>2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8">
        <v>133</v>
      </c>
      <c r="B152" s="9" t="s">
        <v>137</v>
      </c>
      <c r="C152" s="8" t="s">
        <v>69</v>
      </c>
      <c r="D152" s="8">
        <f>COUNTIFS([1]DATABASE!$G:$G,"AKTIF",[1]DATABASE!$AW:$AW,"PNS",[1]DATABASE!$AE:$AE,"S1",[1]DATABASE!$AG:$AG,"FISIKAWAN MEDIS")</f>
        <v>2</v>
      </c>
      <c r="E152" s="8">
        <f>COUNTIFS([1]DATABASE!$G:$G,"AKTIF",[1]DATABASE!$AW:$AW,"APBD",[1]DATABASE!$AE:$AE,"S1",[1]DATABASE!$AG:$AG,"FISIKAWAN MEDIS")</f>
        <v>0</v>
      </c>
      <c r="F152" s="8">
        <f>COUNTIFS([1]DATABASE!$G:$G,"AKTIF",[1]DATABASE!$AW:$AW,"BLUD",[1]DATABASE!$AE:$AE,"S1",[1]DATABASE!$AG:$AG,"FISIKAWAN MEDIS")</f>
        <v>0</v>
      </c>
      <c r="G152" s="10">
        <f>SUM(D152:F152)</f>
        <v>2</v>
      </c>
      <c r="H152" s="3"/>
      <c r="I152" s="8">
        <f>COUNTIFS([1]DATABASE!$G:$G,"AKTIF",[1]DATABASE!$N:$N,"Perempuan",[1]DATABASE!$AE:$AE,"S1",[1]DATABASE!$AG:$AG,"FISIKAWAN MEDIS")</f>
        <v>2</v>
      </c>
      <c r="J152" s="8">
        <f>COUNTIFS([1]DATABASE!$G:$G,"AKTIF",[1]DATABASE!$N:$N,"Laki-Laki",[1]DATABASE!$AE:$AE,"S1",[1]DATABASE!$AG:$AG,"FISIKAWAN MEDIS")</f>
        <v>0</v>
      </c>
      <c r="K152" s="8">
        <f t="shared" si="2"/>
        <v>2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5" t="s">
        <v>138</v>
      </c>
      <c r="B153" s="6"/>
      <c r="C153" s="6"/>
      <c r="D153" s="7">
        <f t="shared" ref="D153:G153" si="54">SUM(D154:D156)</f>
        <v>4</v>
      </c>
      <c r="E153" s="7">
        <f t="shared" si="54"/>
        <v>1</v>
      </c>
      <c r="F153" s="7">
        <f t="shared" si="54"/>
        <v>0</v>
      </c>
      <c r="G153" s="7">
        <f t="shared" si="54"/>
        <v>5</v>
      </c>
      <c r="H153" s="3"/>
      <c r="I153" s="7">
        <f t="shared" ref="I153:J153" si="55">SUM(I154:I156)</f>
        <v>5</v>
      </c>
      <c r="J153" s="7">
        <f t="shared" si="55"/>
        <v>0</v>
      </c>
      <c r="K153" s="7">
        <f t="shared" si="2"/>
        <v>5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8">
        <v>134</v>
      </c>
      <c r="B154" s="9" t="s">
        <v>139</v>
      </c>
      <c r="C154" s="8" t="s">
        <v>37</v>
      </c>
      <c r="D154" s="8">
        <f>COUNTIFS([1]DATABASE!$G:$G,"AKTIF",[1]DATABASE!$AW:$AW,"PNS",[1]DATABASE!$AE:$AE,"S2",[1]DATABASE!$AG:$AG,"PSIKOLOGI")</f>
        <v>2</v>
      </c>
      <c r="E154" s="8">
        <f>COUNTIFS([1]DATABASE!$G:$G,"AKTIF",[1]DATABASE!$AW:$AW,"APBD",[1]DATABASE!$AE:$AE,"S2",[1]DATABASE!$AG:$AG,"PSIKOLOGI")</f>
        <v>0</v>
      </c>
      <c r="F154" s="8">
        <f>COUNTIFS([1]DATABASE!$G:$G,"AKTIF",[1]DATABASE!$AW:$AW,"BLUD",[1]DATABASE!$AE:$AE,"S2",[1]DATABASE!$AG:$AG,"PSIKOLOGI")</f>
        <v>0</v>
      </c>
      <c r="G154" s="10">
        <f t="shared" ref="G154:G156" si="56">SUM(D154:F154)</f>
        <v>2</v>
      </c>
      <c r="H154" s="3"/>
      <c r="I154" s="8">
        <f>COUNTIFS([1]DATABASE!$G:$G,"AKTIF",[1]DATABASE!$N:$N,"Perempuan",[1]DATABASE!$AE:$AE,"S2",[1]DATABASE!$AG:$AG,"PSIKOLOGI")</f>
        <v>2</v>
      </c>
      <c r="J154" s="8">
        <f>COUNTIFS([1]DATABASE!$G:$G,"AKTIF",[1]DATABASE!$N:$N,"Laki-Laki",[1]DATABASE!$AE:$AE,"S2",[1]DATABASE!$AG:$AG,"PSIKOLOGI")</f>
        <v>0</v>
      </c>
      <c r="K154" s="8">
        <f t="shared" si="2"/>
        <v>2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8">
        <v>135</v>
      </c>
      <c r="B155" s="9" t="s">
        <v>139</v>
      </c>
      <c r="C155" s="8" t="s">
        <v>69</v>
      </c>
      <c r="D155" s="8">
        <f>COUNTIFS([1]DATABASE!$G:$G,"AKTIF",[1]DATABASE!$AW:$AW,"PNS",[1]DATABASE!$AE:$AE,"S1",[1]DATABASE!$AG:$AG,"PSIKOLOGI")</f>
        <v>2</v>
      </c>
      <c r="E155" s="8">
        <f>COUNTIFS([1]DATABASE!$G:$G,"AKTIF",[1]DATABASE!$AW:$AW,"APBD",[1]DATABASE!$AE:$AE,"S1",[1]DATABASE!$AG:$AG,"PSIKOLOGI")</f>
        <v>0</v>
      </c>
      <c r="F155" s="8">
        <f>COUNTIFS([1]DATABASE!$G:$G,"AKTIF",[1]DATABASE!$AW:$AW,"BLUD",[1]DATABASE!$AE:$AE,"S1",[1]DATABASE!$AG:$AG,"PSIKOLOGI")</f>
        <v>0</v>
      </c>
      <c r="G155" s="10">
        <f t="shared" si="56"/>
        <v>2</v>
      </c>
      <c r="H155" s="3"/>
      <c r="I155" s="8">
        <f>COUNTIFS([1]DATABASE!$G:$G,"AKTIF",[1]DATABASE!$N:$N,"Perempuan",[1]DATABASE!$AE:$AE,"S1",[1]DATABASE!$AG:$AG,"PSIKOLOGI")</f>
        <v>2</v>
      </c>
      <c r="J155" s="8">
        <f>COUNTIFS([1]DATABASE!$G:$G,"AKTIF",[1]DATABASE!$N:$N,"Laki-Laki",[1]DATABASE!$AE:$AE,"S1",[1]DATABASE!$AG:$AG,"PSIKOLOGI")</f>
        <v>0</v>
      </c>
      <c r="K155" s="8">
        <f t="shared" si="2"/>
        <v>2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8">
        <v>136</v>
      </c>
      <c r="B156" s="9" t="s">
        <v>140</v>
      </c>
      <c r="C156" s="8" t="s">
        <v>69</v>
      </c>
      <c r="D156" s="8">
        <f>COUNTIFS([1]DATABASE!$G:$G,"AKTIF",[1]DATABASE!$AW:$AW,"PNS",[1]DATABASE!$AE:$AE,"S1 + Profesi",[1]DATABASE!$AG:$AG,"PSIKOLOGI KLINIS")</f>
        <v>0</v>
      </c>
      <c r="E156" s="8">
        <f>COUNTIFS([1]DATABASE!$G:$G,"AKTIF",[1]DATABASE!$AW:$AW,"APBD",[1]DATABASE!$AE:$AE,"S1 + Profesi",[1]DATABASE!$AG:$AG,"PSIKOLOGI KLINIS")</f>
        <v>1</v>
      </c>
      <c r="F156" s="8">
        <f>COUNTIFS([1]DATABASE!$G:$G,"AKTIF",[1]DATABASE!$AW:$AW,"BLUD",[1]DATABASE!$AE:$AE,"S1 + Profesi",[1]DATABASE!$AG:$AG,"PSIKOLOGI KLINIS")</f>
        <v>0</v>
      </c>
      <c r="G156" s="10">
        <f t="shared" si="56"/>
        <v>1</v>
      </c>
      <c r="H156" s="3"/>
      <c r="I156" s="8">
        <f>COUNTIFS([1]DATABASE!$G:$G,"AKTIF",[1]DATABASE!$N:$N,"Perempuan",[1]DATABASE!$AE:$AE,"S1 + Profesi",[1]DATABASE!$AG:$AG,"PSIKOLOGI KLINIS")</f>
        <v>1</v>
      </c>
      <c r="J156" s="8">
        <f>COUNTIFS([1]DATABASE!$G:$G,"AKTIF",[1]DATABASE!$N:$N,"Laki-Laki",[1]DATABASE!$AE:$AE,"S1 + Profesi",[1]DATABASE!$AG:$AG,"PSIKOLOGI KLINIS")</f>
        <v>0</v>
      </c>
      <c r="K156" s="8">
        <f t="shared" si="2"/>
        <v>1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5" t="s">
        <v>141</v>
      </c>
      <c r="B157" s="6"/>
      <c r="C157" s="6"/>
      <c r="D157" s="7">
        <f t="shared" ref="D157:G157" si="57">SUM(D158:D160)</f>
        <v>2</v>
      </c>
      <c r="E157" s="7">
        <f t="shared" si="57"/>
        <v>9</v>
      </c>
      <c r="F157" s="7">
        <f t="shared" si="57"/>
        <v>0</v>
      </c>
      <c r="G157" s="7">
        <f t="shared" si="57"/>
        <v>11</v>
      </c>
      <c r="H157" s="3"/>
      <c r="I157" s="7">
        <f t="shared" ref="I157:J157" si="58">SUM(I158:I160)</f>
        <v>8</v>
      </c>
      <c r="J157" s="7">
        <f t="shared" si="58"/>
        <v>3</v>
      </c>
      <c r="K157" s="7">
        <f t="shared" si="2"/>
        <v>11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8">
        <v>137</v>
      </c>
      <c r="B158" s="9" t="s">
        <v>142</v>
      </c>
      <c r="C158" s="8" t="s">
        <v>69</v>
      </c>
      <c r="D158" s="8">
        <f>COUNTIFS([1]DATABASE!$G:$G,"AKTIF",[1]DATABASE!$AW:$AW,"PNS",[1]DATABASE!$AE:$AE,"S1",[1]DATABASE!$AG:$AG,"AKUTANSI")</f>
        <v>2</v>
      </c>
      <c r="E158" s="8">
        <f>COUNTIFS([1]DATABASE!$G:$G,"AKTIF",[1]DATABASE!$AW:$AW,"APBD",[1]DATABASE!$AE:$AE,"S1",[1]DATABASE!$AG:$AG,"AKUTANSI")</f>
        <v>7</v>
      </c>
      <c r="F158" s="8">
        <f>COUNTIFS([1]DATABASE!$G:$G,"AKTIF",[1]DATABASE!$AW:$AW,"BLUD",[1]DATABASE!$AE:$AE,"S1",[1]DATABASE!$AG:$AG,"AKUTANSI")</f>
        <v>0</v>
      </c>
      <c r="G158" s="10">
        <f t="shared" ref="G158:G160" si="59">SUM(D158:F158)</f>
        <v>9</v>
      </c>
      <c r="H158" s="3"/>
      <c r="I158" s="8">
        <f>COUNTIFS([1]DATABASE!$G:$G,"AKTIF",[1]DATABASE!$N:$N,"Perempuan",[1]DATABASE!$AE:$AE,"S1",[1]DATABASE!$AG:$AG,"AKUTANSI")</f>
        <v>6</v>
      </c>
      <c r="J158" s="8">
        <f>COUNTIFS([1]DATABASE!$G:$G,"AKTIF",[1]DATABASE!$N:$N,"Laki-Laki",[1]DATABASE!$AE:$AE,"S1",[1]DATABASE!$AG:$AG,"AKUTANSI")</f>
        <v>3</v>
      </c>
      <c r="K158" s="8">
        <f t="shared" si="2"/>
        <v>9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11">
        <v>138</v>
      </c>
      <c r="B159" s="9" t="s">
        <v>143</v>
      </c>
      <c r="C159" s="11" t="s">
        <v>144</v>
      </c>
      <c r="D159" s="8">
        <f>COUNTIFS([1]DATABASE!$G:$G,"AKTIF",[1]DATABASE!$AW:$AW,"PNS",[1]DATABASE!$AE:$AE,"D4",[1]DATABASE!$AG:$AG,"AKUTANSI KEUANGAN PUBLIK")</f>
        <v>0</v>
      </c>
      <c r="E159" s="8">
        <f>COUNTIFS([1]DATABASE!$G:$G,"AKTIF",[1]DATABASE!$AW:$AW,"APBD",[1]DATABASE!$AE:$AE,"D4",[1]DATABASE!$AG:$AG,"AKUTANSI KEUANGAN PUBLIK")</f>
        <v>1</v>
      </c>
      <c r="F159" s="8">
        <f>COUNTIFS([1]DATABASE!$G:$G,"AKTIF",[1]DATABASE!$AW:$AW,"BLUD",[1]DATABASE!$AE:$AE,"D4",[1]DATABASE!$AG:$AG,"AKUTANSI KEUANGAN PUBLIK")</f>
        <v>0</v>
      </c>
      <c r="G159" s="10">
        <f t="shared" si="59"/>
        <v>1</v>
      </c>
      <c r="H159" s="3"/>
      <c r="I159" s="8">
        <f>COUNTIFS([1]DATABASE!$G:$G,"AKTIF",[1]DATABASE!$N:$N,"Perempuan",[1]DATABASE!$AE:$AE,"D4",[1]DATABASE!$AG:$AG,"AKUTANSI KEUANGAN PUBLIK")</f>
        <v>1</v>
      </c>
      <c r="J159" s="8">
        <f>COUNTIFS([1]DATABASE!$G:$G,"AKTIF",[1]DATABASE!$N:$N,"Laki-Laki",[1]DATABASE!$AE:$AE,"D4",[1]DATABASE!$AG:$AG,"AKUTANSI KEUANGAN PUBLIK")</f>
        <v>0</v>
      </c>
      <c r="K159" s="8">
        <f t="shared" si="2"/>
        <v>1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11">
        <v>139</v>
      </c>
      <c r="B160" s="9" t="s">
        <v>145</v>
      </c>
      <c r="C160" s="11" t="s">
        <v>131</v>
      </c>
      <c r="D160" s="8">
        <f>COUNTIFS([1]DATABASE!$G:$G,"AKTIF",[1]DATABASE!$AW:$AW,"PNS",[1]DATABASE!$AE:$AE,"D3",[1]DATABASE!$AG:$AG,"AKUTANSI PERBANKAN DAN KEUANGAN")</f>
        <v>0</v>
      </c>
      <c r="E160" s="8">
        <f>COUNTIFS([1]DATABASE!$G:$G,"AKTIF",[1]DATABASE!$AW:$AW,"APBD",[1]DATABASE!$AE:$AE,"D3",[1]DATABASE!$AG:$AG,"AKUTANSI PERBANKAN DAN KEUANGAN")</f>
        <v>1</v>
      </c>
      <c r="F160" s="8">
        <f>COUNTIFS([1]DATABASE!$G:$G,"AKTIF",[1]DATABASE!$AW:$AW,"BLUD",[1]DATABASE!$AE:$AE,"D3",[1]DATABASE!$AG:$AG,"AKUTANSI PERBANKAN DAN KEUANGAN")</f>
        <v>0</v>
      </c>
      <c r="G160" s="10">
        <f t="shared" si="59"/>
        <v>1</v>
      </c>
      <c r="H160" s="3"/>
      <c r="I160" s="8">
        <f>COUNTIFS([1]DATABASE!$G:$G,"AKTIF",[1]DATABASE!$N:$N,"Perempuan",[1]DATABASE!$AE:$AE,"D3",[1]DATABASE!$AG:$AG,"AKUTANSI PERBANKAN DAN KEUANGAN")</f>
        <v>1</v>
      </c>
      <c r="J160" s="8">
        <f>COUNTIFS([1]DATABASE!$G:$G,"AKTIF",[1]DATABASE!$N:$N,"Laki-Laki",[1]DATABASE!$AE:$AE,"D3",[1]DATABASE!$AG:$AG,"AKUTANSI PERBANKAN DAN KEUANGAN")</f>
        <v>0</v>
      </c>
      <c r="K160" s="8">
        <f t="shared" si="2"/>
        <v>1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5" t="s">
        <v>146</v>
      </c>
      <c r="B161" s="6"/>
      <c r="C161" s="6"/>
      <c r="D161" s="7">
        <f t="shared" ref="D161:G161" si="60">SUM(D162:D167)</f>
        <v>8</v>
      </c>
      <c r="E161" s="7">
        <f t="shared" si="60"/>
        <v>6</v>
      </c>
      <c r="F161" s="7">
        <f t="shared" si="60"/>
        <v>6</v>
      </c>
      <c r="G161" s="7">
        <f t="shared" si="60"/>
        <v>20</v>
      </c>
      <c r="H161" s="3"/>
      <c r="I161" s="7">
        <f t="shared" ref="I161:J161" si="61">SUM(I162:I167)</f>
        <v>11</v>
      </c>
      <c r="J161" s="7">
        <f t="shared" si="61"/>
        <v>9</v>
      </c>
      <c r="K161" s="7">
        <f t="shared" si="2"/>
        <v>20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8">
        <v>140</v>
      </c>
      <c r="B162" s="9" t="s">
        <v>147</v>
      </c>
      <c r="C162" s="12" t="s">
        <v>37</v>
      </c>
      <c r="D162" s="8">
        <f>COUNTIFS([1]DATABASE!$G:$G,"AKTIF",[1]DATABASE!$AW:$AW,"PNS",[1]DATABASE!$AE:$AE,"S2",[1]DATABASE!$AG:$AG,"MANAJEMEN")</f>
        <v>1</v>
      </c>
      <c r="E162" s="8">
        <f>COUNTIFS([1]DATABASE!$G:$G,"AKTIF",[1]DATABASE!$AW:$AW,"APBD",[1]DATABASE!$AE:$AE,"S2",[1]DATABASE!$AG:$AG,"MANAJEMEN")</f>
        <v>0</v>
      </c>
      <c r="F162" s="8">
        <f>COUNTIFS([1]DATABASE!$G:$G,"AKTIF",[1]DATABASE!$AW:$AW,"BLUD",[1]DATABASE!$AE:$AE,"S2",[1]DATABASE!$AG:$AG,"MANAJEMEN")</f>
        <v>0</v>
      </c>
      <c r="G162" s="10">
        <f t="shared" ref="G162:G167" si="62">SUM(D162:F162)</f>
        <v>1</v>
      </c>
      <c r="H162" s="3"/>
      <c r="I162" s="8">
        <f>COUNTIFS([1]DATABASE!$G:$G,"AKTIF",[1]DATABASE!$N:$N,"Perempuan",[1]DATABASE!$AE:$AE,"S2",[1]DATABASE!$AG:$AG,"MANAJEMEN")</f>
        <v>1</v>
      </c>
      <c r="J162" s="8">
        <f>COUNTIFS([1]DATABASE!$G:$G,"AKTIF",[1]DATABASE!$N:$N,"Laki-Laki",[1]DATABASE!$AE:$AE,"S2",[1]DATABASE!$AG:$AG,"MANAJEMEN")</f>
        <v>0</v>
      </c>
      <c r="K162" s="8">
        <f t="shared" si="2"/>
        <v>1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8">
        <v>141</v>
      </c>
      <c r="B163" s="9" t="s">
        <v>148</v>
      </c>
      <c r="C163" s="12" t="s">
        <v>37</v>
      </c>
      <c r="D163" s="8">
        <f>COUNTIFS([1]DATABASE!$G:$G,"AKTIF",[1]DATABASE!$AW:$AW,"PNS",[1]DATABASE!$AE:$AE,"S2",[1]DATABASE!$AG:$AG,"MANAJEMEN SUMBER DAYA MANUSIA")</f>
        <v>1</v>
      </c>
      <c r="E163" s="8">
        <f>COUNTIFS([1]DATABASE!$G:$G,"AKTIF",[1]DATABASE!$AW:$AW,"APBD",[1]DATABASE!$AE:$AE,"S2",[1]DATABASE!$AG:$AG,"MANAJEMEN SUMBER DAYA MANUSIA")</f>
        <v>0</v>
      </c>
      <c r="F163" s="8">
        <f>COUNTIFS([1]DATABASE!$G:$G,"AKTIF",[1]DATABASE!$AW:$AW,"BLUD",[1]DATABASE!$AE:$AE,"S2",[1]DATABASE!$AG:$AG,"MANAJEMEN SUMBER DAYA MANUSIA")</f>
        <v>0</v>
      </c>
      <c r="G163" s="10">
        <f t="shared" si="62"/>
        <v>1</v>
      </c>
      <c r="H163" s="3"/>
      <c r="I163" s="8">
        <f>COUNTIFS([1]DATABASE!$G:$G,"AKTIF",[1]DATABASE!$N:$N,"Perempuan",[1]DATABASE!$AE:$AE,"S2",[1]DATABASE!$AG:$AG,"MANAJEMEN SUMBER DAYA MANUSIA")</f>
        <v>0</v>
      </c>
      <c r="J163" s="8">
        <f>COUNTIFS([1]DATABASE!$G:$G,"AKTIF",[1]DATABASE!$N:$N,"Laki-Laki",[1]DATABASE!$AE:$AE,"S2",[1]DATABASE!$AG:$AG,"MANAJEMEN SUMBER DAYA MANUSIA")</f>
        <v>1</v>
      </c>
      <c r="K163" s="8">
        <f t="shared" si="2"/>
        <v>1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8">
        <v>142</v>
      </c>
      <c r="B164" s="9" t="s">
        <v>149</v>
      </c>
      <c r="C164" s="8" t="s">
        <v>69</v>
      </c>
      <c r="D164" s="8">
        <f>COUNTIFS([1]DATABASE!$G:$G,"AKTIF",[1]DATABASE!$AW:$AW,"PNS",[1]DATABASE!$AE:$AE,"S1",[1]DATABASE!$AG:$AG,"PENDIDIKAN EKONOMI")</f>
        <v>0</v>
      </c>
      <c r="E164" s="8">
        <f>COUNTIFS([1]DATABASE!$G:$G,"AKTIF",[1]DATABASE!$AW:$AW,"APBD",[1]DATABASE!$AE:$AE,"S1",[1]DATABASE!$AG:$AG,"PENDIDIKAN EKONOMI")</f>
        <v>2</v>
      </c>
      <c r="F164" s="8">
        <f>COUNTIFS([1]DATABASE!$G:$G,"AKTIF",[1]DATABASE!$AW:$AW,"BLUD",[1]DATABASE!$AE:$AE,"S1",[1]DATABASE!$AG:$AG,"PENDIDIKAN EKONOMI")</f>
        <v>3</v>
      </c>
      <c r="G164" s="10">
        <f t="shared" si="62"/>
        <v>5</v>
      </c>
      <c r="H164" s="3"/>
      <c r="I164" s="8">
        <f>COUNTIFS([1]DATABASE!$G:$G,"AKTIF",[1]DATABASE!$N:$N,"Perempuan",[1]DATABASE!$AE:$AE,"S1",[1]DATABASE!$AG:$AG,"PENDIDIKAN EKONOMI")</f>
        <v>4</v>
      </c>
      <c r="J164" s="8">
        <f>COUNTIFS([1]DATABASE!$G:$G,"AKTIF",[1]DATABASE!$N:$N,"Laki-Laki",[1]DATABASE!$AE:$AE,"S1",[1]DATABASE!$AG:$AG,"PENDIDIKAN EKONOMI")</f>
        <v>1</v>
      </c>
      <c r="K164" s="8">
        <f t="shared" si="2"/>
        <v>5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8">
        <v>143</v>
      </c>
      <c r="B165" s="9" t="s">
        <v>147</v>
      </c>
      <c r="C165" s="8" t="s">
        <v>69</v>
      </c>
      <c r="D165" s="8">
        <f>COUNTIFS([1]DATABASE!$G:$G,"AKTIF",[1]DATABASE!$AW:$AW,"PNS",[1]DATABASE!$AE:$AE,"S1",[1]DATABASE!$AG:$AG,"MANAJEMEN")</f>
        <v>6</v>
      </c>
      <c r="E165" s="8">
        <f>COUNTIFS([1]DATABASE!$G:$G,"AKTIF",[1]DATABASE!$AW:$AW,"APBD",[1]DATABASE!$AE:$AE,"S1",[1]DATABASE!$AG:$AG,"MANAJEMEN")</f>
        <v>4</v>
      </c>
      <c r="F165" s="8">
        <f>COUNTIFS([1]DATABASE!$G:$G,"AKTIF",[1]DATABASE!$AW:$AW,"BLUD",[1]DATABASE!$AE:$AE,"S1",[1]DATABASE!$AG:$AG,"MANAJEMEN")</f>
        <v>1</v>
      </c>
      <c r="G165" s="10">
        <f t="shared" si="62"/>
        <v>11</v>
      </c>
      <c r="H165" s="3"/>
      <c r="I165" s="8">
        <f>COUNTIFS([1]DATABASE!$G:$G,"AKTIF",[1]DATABASE!$N:$N,"Perempuan",[1]DATABASE!$AE:$AE,"S1",[1]DATABASE!$AG:$AG,"MANAJEMEN")</f>
        <v>6</v>
      </c>
      <c r="J165" s="8">
        <f>COUNTIFS([1]DATABASE!$G:$G,"AKTIF",[1]DATABASE!$N:$N,"Laki-Laki",[1]DATABASE!$AE:$AE,"S1",[1]DATABASE!$AG:$AG,"MANAJEMEN")</f>
        <v>5</v>
      </c>
      <c r="K165" s="8">
        <f t="shared" si="2"/>
        <v>11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8">
        <v>144</v>
      </c>
      <c r="B166" s="9" t="s">
        <v>150</v>
      </c>
      <c r="C166" s="8" t="s">
        <v>69</v>
      </c>
      <c r="D166" s="8">
        <f>COUNTIFS([1]DATABASE!$G:$G,"AKTIF",[1]DATABASE!$AW:$AW,"PNS",[1]DATABASE!$AE:$AE,"S1",[1]DATABASE!$AG:$AG,"MANAJEMEN BISNIS SYARIAH")</f>
        <v>0</v>
      </c>
      <c r="E166" s="8">
        <f>COUNTIFS([1]DATABASE!$G:$G,"AKTIF",[1]DATABASE!$AW:$AW,"APBD",[1]DATABASE!$AE:$AE,"S1",[1]DATABASE!$AG:$AG,"MANAJEMEN BISNIS SYARIAH")</f>
        <v>0</v>
      </c>
      <c r="F166" s="8">
        <f>COUNTIFS([1]DATABASE!$G:$G,"AKTIF",[1]DATABASE!$AW:$AW,"BLUD",[1]DATABASE!$AE:$AE,"S1",[1]DATABASE!$AG:$AG,"MANAJEMEN BISNIS SYARIAH")</f>
        <v>1</v>
      </c>
      <c r="G166" s="10">
        <f t="shared" si="62"/>
        <v>1</v>
      </c>
      <c r="H166" s="3"/>
      <c r="I166" s="8">
        <f>COUNTIFS([1]DATABASE!$G:$G,"AKTIF",[1]DATABASE!$N:$N,"Perempuan",[1]DATABASE!$AE:$AE,"S1",[1]DATABASE!$AG:$AG,"MANAJEMEN BISNIS SYARIAH")</f>
        <v>0</v>
      </c>
      <c r="J166" s="8">
        <f>COUNTIFS([1]DATABASE!$G:$G,"AKTIF",[1]DATABASE!$N:$N,"Laki-Laki",[1]DATABASE!$AE:$AE,"S1",[1]DATABASE!$AG:$AG,"MANAJEMEN BISNIS SYARIAH")</f>
        <v>1</v>
      </c>
      <c r="K166" s="8">
        <f t="shared" si="2"/>
        <v>1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8">
        <v>145</v>
      </c>
      <c r="B167" s="9" t="s">
        <v>151</v>
      </c>
      <c r="C167" s="8" t="s">
        <v>69</v>
      </c>
      <c r="D167" s="8">
        <f>COUNTIFS([1]DATABASE!$G:$G,"AKTIF",[1]DATABASE!$AW:$AW,"PNS",[1]DATABASE!$AE:$AE,"S1",[1]DATABASE!$AG:$AG,"MANAJEMEN PEMASARAN")</f>
        <v>0</v>
      </c>
      <c r="E167" s="8">
        <f>COUNTIFS([1]DATABASE!$G:$G,"AKTIF",[1]DATABASE!$AW:$AW,"APBD",[1]DATABASE!$AE:$AE,"S1",[1]DATABASE!$AG:$AG,"MANAJEMEN PEMASARAN")</f>
        <v>0</v>
      </c>
      <c r="F167" s="8">
        <f>COUNTIFS([1]DATABASE!$G:$G,"AKTIF",[1]DATABASE!$AW:$AW,"BLUD",[1]DATABASE!$AE:$AE,"S1",[1]DATABASE!$AG:$AG,"MANAJEMEN PEMASARAN")</f>
        <v>1</v>
      </c>
      <c r="G167" s="10">
        <f t="shared" si="62"/>
        <v>1</v>
      </c>
      <c r="H167" s="3"/>
      <c r="I167" s="8">
        <f>COUNTIFS([1]DATABASE!$G:$G,"AKTIF",[1]DATABASE!$N:$N,"Perempuan",[1]DATABASE!$AE:$AE,"S1",[1]DATABASE!$AG:$AG,"MANAJEMEN PEMASARAN")</f>
        <v>0</v>
      </c>
      <c r="J167" s="8">
        <f>COUNTIFS([1]DATABASE!$G:$G,"AKTIF",[1]DATABASE!$N:$N,"Laki-Laki",[1]DATABASE!$AE:$AE,"S1",[1]DATABASE!$AG:$AG,"MANAJEMEN PEMASARAN")</f>
        <v>1</v>
      </c>
      <c r="K167" s="8">
        <f t="shared" si="2"/>
        <v>1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5" t="s">
        <v>152</v>
      </c>
      <c r="B168" s="6"/>
      <c r="C168" s="6"/>
      <c r="D168" s="7">
        <f t="shared" ref="D168:G168" si="63">SUM(D169)</f>
        <v>0</v>
      </c>
      <c r="E168" s="7">
        <f t="shared" si="63"/>
        <v>1</v>
      </c>
      <c r="F168" s="7">
        <f t="shared" si="63"/>
        <v>1</v>
      </c>
      <c r="G168" s="7">
        <f t="shared" si="63"/>
        <v>2</v>
      </c>
      <c r="H168" s="3"/>
      <c r="I168" s="7">
        <f t="shared" ref="I168:J168" si="64">SUM(I169)</f>
        <v>1</v>
      </c>
      <c r="J168" s="7">
        <f t="shared" si="64"/>
        <v>1</v>
      </c>
      <c r="K168" s="7">
        <f t="shared" si="2"/>
        <v>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9"/>
      <c r="B169" s="9" t="s">
        <v>153</v>
      </c>
      <c r="C169" s="8" t="s">
        <v>69</v>
      </c>
      <c r="D169" s="8">
        <f>COUNTIFS([1]DATABASE!$G:$G,"AKTIF",[1]DATABASE!$AW:$AW,"PNS",[1]DATABASE!$AE:$AE,"S1",[1]DATABASE!$AG:$AG,"ILMU ADMINISTRASI PUBLIK")</f>
        <v>0</v>
      </c>
      <c r="E169" s="8">
        <f>COUNTIFS([1]DATABASE!$G:$G,"AKTIF",[1]DATABASE!$AW:$AW,"APBD",[1]DATABASE!$AE:$AE,"S1",[1]DATABASE!$AG:$AG,"ILMU ADMINISTRASI PUBLIK")</f>
        <v>1</v>
      </c>
      <c r="F169" s="8">
        <f>COUNTIFS([1]DATABASE!$G:$G,"AKTIF",[1]DATABASE!$AW:$AW,"BLUD",[1]DATABASE!$AE:$AE,"S1",[1]DATABASE!$AG:$AG,"ILMU ADMINISTRASI PUBLIK")</f>
        <v>1</v>
      </c>
      <c r="G169" s="10">
        <f>SUM(D169:F169)</f>
        <v>2</v>
      </c>
      <c r="H169" s="3"/>
      <c r="I169" s="8">
        <f>COUNTIFS([1]DATABASE!$G:$G,"AKTIF",[1]DATABASE!$N:$N,"Perempuan",[1]DATABASE!$AE:$AE,"S1",[1]DATABASE!$AG:$AG,"ILMU ADMINISTRASI PUBLIK")</f>
        <v>1</v>
      </c>
      <c r="J169" s="8">
        <f>COUNTIFS([1]DATABASE!$G:$G,"AKTIF",[1]DATABASE!$N:$N,"Laki-Laki",[1]DATABASE!$AE:$AE,"S1",[1]DATABASE!$AG:$AG,"ILMU ADMINISTRASI PUBLIK")</f>
        <v>1</v>
      </c>
      <c r="K169" s="8">
        <f t="shared" si="2"/>
        <v>2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5" t="s">
        <v>154</v>
      </c>
      <c r="B170" s="6"/>
      <c r="C170" s="6"/>
      <c r="D170" s="7">
        <f t="shared" ref="D170:G170" si="65">SUM(D171)</f>
        <v>0</v>
      </c>
      <c r="E170" s="7">
        <f t="shared" si="65"/>
        <v>3</v>
      </c>
      <c r="F170" s="7">
        <f t="shared" si="65"/>
        <v>0</v>
      </c>
      <c r="G170" s="7">
        <f t="shared" si="65"/>
        <v>3</v>
      </c>
      <c r="H170" s="3"/>
      <c r="I170" s="7">
        <f t="shared" ref="I170:J170" si="66">SUM(I171)</f>
        <v>3</v>
      </c>
      <c r="J170" s="7">
        <f t="shared" si="66"/>
        <v>0</v>
      </c>
      <c r="K170" s="7">
        <f t="shared" si="2"/>
        <v>3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9"/>
      <c r="B171" s="9" t="s">
        <v>155</v>
      </c>
      <c r="C171" s="8" t="s">
        <v>69</v>
      </c>
      <c r="D171" s="8">
        <f>COUNTIFS([1]DATABASE!$G:$G,"AKTIF",[1]DATABASE!$AW:$AW,"PNS",[1]DATABASE!$AE:$AE,"S1",[1]DATABASE!$AG:$AG,"SASTRA INGGRIS")</f>
        <v>0</v>
      </c>
      <c r="E171" s="8">
        <f>COUNTIFS([1]DATABASE!$G:$G,"AKTIF",[1]DATABASE!$AW:$AW,"APBD",[1]DATABASE!$AE:$AE,"S1",[1]DATABASE!$AG:$AG,"SASTRA INGGRIS")</f>
        <v>3</v>
      </c>
      <c r="F171" s="8">
        <f>COUNTIFS([1]DATABASE!$G:$G,"AKTIF",[1]DATABASE!$AW:$AW,"BLUD",[1]DATABASE!$AE:$AE,"S1",[1]DATABASE!$AG:$AG,"SASTRA INGGRIS")</f>
        <v>0</v>
      </c>
      <c r="G171" s="10">
        <f>SUM(D171:F171)</f>
        <v>3</v>
      </c>
      <c r="H171" s="3"/>
      <c r="I171" s="8">
        <f>COUNTIFS([1]DATABASE!$G:$G,"AKTIF",[1]DATABASE!$N:$N,"Perempuan",[1]DATABASE!$AE:$AE,"S1",[1]DATABASE!$AG:$AG,"SASTRA INGGRIS")</f>
        <v>3</v>
      </c>
      <c r="J171" s="8">
        <f>COUNTIFS([1]DATABASE!$G:$G,"AKTIF",[1]DATABASE!$N:$N,"Laki-Laki",[1]DATABASE!$AE:$AE,"S1",[1]DATABASE!$AG:$AG,"SASTRA INGGRIS")</f>
        <v>0</v>
      </c>
      <c r="K171" s="8">
        <f t="shared" si="2"/>
        <v>3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5" t="s">
        <v>156</v>
      </c>
      <c r="B172" s="6"/>
      <c r="C172" s="6"/>
      <c r="D172" s="7">
        <f t="shared" ref="D172:G172" si="67">SUM(D173)</f>
        <v>0</v>
      </c>
      <c r="E172" s="7">
        <f t="shared" si="67"/>
        <v>1</v>
      </c>
      <c r="F172" s="7">
        <f t="shared" si="67"/>
        <v>0</v>
      </c>
      <c r="G172" s="7">
        <f t="shared" si="67"/>
        <v>1</v>
      </c>
      <c r="H172" s="3"/>
      <c r="I172" s="7">
        <f t="shared" ref="I172:J172" si="68">SUM(I173)</f>
        <v>1</v>
      </c>
      <c r="J172" s="7">
        <f t="shared" si="68"/>
        <v>0</v>
      </c>
      <c r="K172" s="7">
        <f t="shared" si="2"/>
        <v>1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9"/>
      <c r="B173" s="9" t="s">
        <v>157</v>
      </c>
      <c r="C173" s="8" t="s">
        <v>131</v>
      </c>
      <c r="D173" s="8">
        <f>COUNTIFS([1]DATABASE!$G:$G,"AKTIF",[1]DATABASE!$AW:$AW,"PNS",[1]DATABASE!$AE:$AE,"D3",[1]DATABASE!$AG:$AG,"ADMINISTRASI PERKANTORAN DAN SEKRETARIS")</f>
        <v>0</v>
      </c>
      <c r="E173" s="8">
        <f>COUNTIFS([1]DATABASE!$G:$G,"AKTIF",[1]DATABASE!$AW:$AW,"APBD",[1]DATABASE!$AE:$AE,"D3",[1]DATABASE!$AG:$AG,"ADMINISTRASI PERKANTORAN DAN SEKRETARIS")</f>
        <v>1</v>
      </c>
      <c r="F173" s="8">
        <f>COUNTIFS([1]DATABASE!$G:$G,"AKTIF",[1]DATABASE!$AW:$AW,"BLUD",[1]DATABASE!$AE:$AE,"D3",[1]DATABASE!$AG:$AG,"ADMINISTRASI PERKANTORAN DAN SEKRETARIS")</f>
        <v>0</v>
      </c>
      <c r="G173" s="10">
        <f>SUM(D173:F173)</f>
        <v>1</v>
      </c>
      <c r="H173" s="3"/>
      <c r="I173" s="8">
        <f>COUNTIFS([1]DATABASE!$G:$G,"AKTIF",[1]DATABASE!$N:$N,"Perempuan",[1]DATABASE!$AE:$AE,"D3",[1]DATABASE!$AG:$AG,"ADMINISTRASI PERKANTORAN DAN SEKRETARIS")</f>
        <v>1</v>
      </c>
      <c r="J173" s="8">
        <f>COUNTIFS([1]DATABASE!$G:$G,"AKTIF",[1]DATABASE!$N:$N,"Laki-Laki",[1]DATABASE!$AE:$AE,"D3",[1]DATABASE!$AG:$AG,"ADMINISTRASI PERKANTORAN DAN SEKRETARIS")</f>
        <v>0</v>
      </c>
      <c r="K173" s="8">
        <f t="shared" si="2"/>
        <v>1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5" t="s">
        <v>92</v>
      </c>
      <c r="B174" s="6"/>
      <c r="C174" s="6"/>
      <c r="D174" s="7">
        <f t="shared" ref="D174:G174" si="69">SUM(D175:D176)</f>
        <v>6</v>
      </c>
      <c r="E174" s="7">
        <f t="shared" si="69"/>
        <v>6</v>
      </c>
      <c r="F174" s="7">
        <f t="shared" si="69"/>
        <v>67</v>
      </c>
      <c r="G174" s="7">
        <f t="shared" si="69"/>
        <v>79</v>
      </c>
      <c r="H174" s="3"/>
      <c r="I174" s="7">
        <f t="shared" ref="I174:J174" si="70">SUM(I175:I176)</f>
        <v>31</v>
      </c>
      <c r="J174" s="7">
        <f t="shared" si="70"/>
        <v>48</v>
      </c>
      <c r="K174" s="7">
        <f t="shared" si="2"/>
        <v>79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8">
        <v>131</v>
      </c>
      <c r="B175" s="9" t="s">
        <v>92</v>
      </c>
      <c r="C175" s="8" t="s">
        <v>92</v>
      </c>
      <c r="D175" s="8">
        <f>COUNTIFS([1]DATABASE!$G:$G,"AKTIF",[1]DATABASE!$AW:$AW,"PNS",[1]DATABASE!$AE:$AE,"SMA",[1]DATABASE!$AG:$AG,"SMA")</f>
        <v>4</v>
      </c>
      <c r="E175" s="8">
        <f>COUNTIFS([1]DATABASE!$G:$G,"AKTIF",[1]DATABASE!$AW:$AW,"APBD",[1]DATABASE!$AE:$AE,"SMA",[1]DATABASE!$AG:$AG,"SMA")</f>
        <v>2</v>
      </c>
      <c r="F175" s="8">
        <f>COUNTIFS([1]DATABASE!$G:$G,"AKTIF",[1]DATABASE!$AW:$AW,"BLUD",[1]DATABASE!$AE:$AE,"SMA",[1]DATABASE!$AG:$AG,"SMA")</f>
        <v>41</v>
      </c>
      <c r="G175" s="10">
        <f t="shared" ref="G175:G176" si="71">SUM(D175:F175)</f>
        <v>47</v>
      </c>
      <c r="H175" s="3"/>
      <c r="I175" s="8">
        <f>COUNTIFS([1]DATABASE!$G:$G,"AKTIF",[1]DATABASE!$N:$N,"Perempuan",[1]DATABASE!$AE:$AE,"SMA",[1]DATABASE!$AG:$AG,"SMA")</f>
        <v>26</v>
      </c>
      <c r="J175" s="8">
        <f>COUNTIFS([1]DATABASE!$G:$G,"AKTIF",[1]DATABASE!$N:$N,"Laki-Laki",[1]DATABASE!$AE:$AE,"SMA",[1]DATABASE!$AG:$AG,"SMA")</f>
        <v>21</v>
      </c>
      <c r="K175" s="8">
        <f t="shared" si="2"/>
        <v>47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8">
        <v>132</v>
      </c>
      <c r="B176" s="9" t="s">
        <v>158</v>
      </c>
      <c r="C176" s="8" t="s">
        <v>92</v>
      </c>
      <c r="D176" s="8">
        <f>COUNTIFS([1]DATABASE!$G:$G,"AKTIF",[1]DATABASE!$AW:$AW,"PNS",[1]DATABASE!$AE:$AE,"SMA",[1]DATABASE!$AG:$AG,"SMK")</f>
        <v>2</v>
      </c>
      <c r="E176" s="8">
        <f>COUNTIFS([1]DATABASE!$G:$G,"AKTIF",[1]DATABASE!$AW:$AW,"APBD",[1]DATABASE!$AE:$AE,"SMA",[1]DATABASE!$AG:$AG,"SMK")</f>
        <v>4</v>
      </c>
      <c r="F176" s="8">
        <f>COUNTIFS([1]DATABASE!$G:$G,"AKTIF",[1]DATABASE!$AW:$AW,"BLUD",[1]DATABASE!$AE:$AE,"SMA",[1]DATABASE!$AG:$AG,"SMK")</f>
        <v>26</v>
      </c>
      <c r="G176" s="10">
        <f t="shared" si="71"/>
        <v>32</v>
      </c>
      <c r="H176" s="3"/>
      <c r="I176" s="8">
        <f>COUNTIFS([1]DATABASE!$G:$G,"AKTIF",[1]DATABASE!$N:$N,"Perempuan",[1]DATABASE!$AE:$AE,"SMA",[1]DATABASE!$AG:$AG,"SMK")</f>
        <v>5</v>
      </c>
      <c r="J176" s="8">
        <f>COUNTIFS([1]DATABASE!$G:$G,"AKTIF",[1]DATABASE!$N:$N,"Laki-Laki",[1]DATABASE!$AE:$AE,"SMA",[1]DATABASE!$AG:$AG,"SMK")</f>
        <v>27</v>
      </c>
      <c r="K176" s="8">
        <f t="shared" si="2"/>
        <v>32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5" t="s">
        <v>159</v>
      </c>
      <c r="B177" s="6"/>
      <c r="C177" s="6"/>
      <c r="D177" s="7">
        <f t="shared" ref="D177:G177" si="72">SUM(D178)</f>
        <v>2</v>
      </c>
      <c r="E177" s="7">
        <f t="shared" si="72"/>
        <v>0</v>
      </c>
      <c r="F177" s="7">
        <f t="shared" si="72"/>
        <v>0</v>
      </c>
      <c r="G177" s="7">
        <f t="shared" si="72"/>
        <v>2</v>
      </c>
      <c r="H177" s="3"/>
      <c r="I177" s="7">
        <f t="shared" ref="I177:J177" si="73">SUM(I178)</f>
        <v>2</v>
      </c>
      <c r="J177" s="7">
        <f t="shared" si="73"/>
        <v>0</v>
      </c>
      <c r="K177" s="7">
        <f t="shared" si="2"/>
        <v>2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8">
        <v>133</v>
      </c>
      <c r="B178" s="9" t="s">
        <v>159</v>
      </c>
      <c r="C178" s="8" t="s">
        <v>159</v>
      </c>
      <c r="D178" s="8">
        <f>COUNTIFS([1]DATABASE!$G:$G,"AKTIF",[1]DATABASE!$AW:$AW,"PNS",[1]DATABASE!$AE:$AE,"SMP",[1]DATABASE!$AG:$AG,"SMP")</f>
        <v>2</v>
      </c>
      <c r="E178" s="8">
        <f>COUNTIFS([1]DATABASE!$G:$G,"AKTIF",[1]DATABASE!$AW:$AW,"APBD",[1]DATABASE!$AE:$AE,"SMP",[1]DATABASE!$AG:$AG,"SMP")</f>
        <v>0</v>
      </c>
      <c r="F178" s="8">
        <f>COUNTIFS([1]DATABASE!$G:$G,"AKTIF",[1]DATABASE!$AW:$AW,"BLUD",[1]DATABASE!$AE:$AE,"SMP",[1]DATABASE!$AG:$AG,"SMP")</f>
        <v>0</v>
      </c>
      <c r="G178" s="10">
        <f>SUM(D178:F178)</f>
        <v>2</v>
      </c>
      <c r="H178" s="3"/>
      <c r="I178" s="8">
        <f>COUNTIFS([1]DATABASE!$G:$G,"AKTIF",[1]DATABASE!$N:$N,"Perempuan",[1]DATABASE!$AE:$AE,"SMP",[1]DATABASE!$AG:$AG,"SMP")</f>
        <v>2</v>
      </c>
      <c r="J178" s="8">
        <f>COUNTIFS([1]DATABASE!$G:$G,"AKTIF",[1]DATABASE!$N:$N,"Laki-Laki",[1]DATABASE!$AE:$AE,"SMP",[1]DATABASE!$AG:$AG,"SMP")</f>
        <v>0</v>
      </c>
      <c r="K178" s="8">
        <f t="shared" si="2"/>
        <v>2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5" t="s">
        <v>160</v>
      </c>
      <c r="B179" s="6"/>
      <c r="C179" s="6"/>
      <c r="D179" s="7">
        <f t="shared" ref="D179:G179" si="74">SUM(D180)</f>
        <v>0</v>
      </c>
      <c r="E179" s="7">
        <f t="shared" si="74"/>
        <v>0</v>
      </c>
      <c r="F179" s="7">
        <f t="shared" si="74"/>
        <v>2</v>
      </c>
      <c r="G179" s="7">
        <f t="shared" si="74"/>
        <v>2</v>
      </c>
      <c r="H179" s="3"/>
      <c r="I179" s="7">
        <f t="shared" ref="I179:J179" si="75">SUM(I180)</f>
        <v>0</v>
      </c>
      <c r="J179" s="7">
        <f t="shared" si="75"/>
        <v>2</v>
      </c>
      <c r="K179" s="7">
        <f t="shared" si="2"/>
        <v>2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thickBot="1" x14ac:dyDescent="0.35">
      <c r="A180" s="13">
        <v>134</v>
      </c>
      <c r="B180" s="14" t="s">
        <v>160</v>
      </c>
      <c r="C180" s="13" t="s">
        <v>160</v>
      </c>
      <c r="D180" s="13">
        <f>COUNTIFS([1]DATABASE!$G:$G,"AKTIF",[1]DATABASE!$AW:$AW,"PNS",[1]DATABASE!$AE:$AE,"SD",[1]DATABASE!$AG:$AG,"SD")</f>
        <v>0</v>
      </c>
      <c r="E180" s="13">
        <f>COUNTIFS([1]DATABASE!$G:$G,"AKTIF",[1]DATABASE!$AW:$AW,"APBD",[1]DATABASE!$AE:$AE,"SD",[1]DATABASE!$AG:$AG,"SD")</f>
        <v>0</v>
      </c>
      <c r="F180" s="13">
        <f>COUNTIFS([1]DATABASE!$G:$G,"AKTIF",[1]DATABASE!$AW:$AW,"BLUD",[1]DATABASE!$AE:$AE,"SD",[1]DATABASE!$AG:$AG,"SD")</f>
        <v>2</v>
      </c>
      <c r="G180" s="15">
        <f>SUM(D180:F180)</f>
        <v>2</v>
      </c>
      <c r="H180" s="3"/>
      <c r="I180" s="13">
        <f>COUNTIFS([1]DATABASE!$G:$G,"AKTIF",[1]DATABASE!$N:$N,"Perempuan",[1]DATABASE!$AE:$AE,"SD",[1]DATABASE!$AG:$AG,"SD")</f>
        <v>0</v>
      </c>
      <c r="J180" s="13">
        <f>COUNTIFS([1]DATABASE!$G:$G,"AKTIF",[1]DATABASE!$N:$N,"Laki-Laki",[1]DATABASE!$AE:$AE,"SD",[1]DATABASE!$AG:$AG,"SD")</f>
        <v>2</v>
      </c>
      <c r="K180" s="13">
        <f t="shared" si="2"/>
        <v>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51" customHeight="1" thickTop="1" x14ac:dyDescent="0.3">
      <c r="A181" s="16" t="s">
        <v>6</v>
      </c>
      <c r="B181" s="17"/>
      <c r="C181" s="18"/>
      <c r="D181" s="19">
        <f t="shared" ref="D181:G181" si="76">SUM(D179+D177+D174+D172+D170+D168+D161+D157+D153+D151+D141+D137+D133+D129+D125+D121+D117+D112+D106+D102+D96+D91+D82+D61+D58+D27+D2)</f>
        <v>287</v>
      </c>
      <c r="E181" s="19">
        <f t="shared" si="76"/>
        <v>279</v>
      </c>
      <c r="F181" s="19">
        <f t="shared" si="76"/>
        <v>146</v>
      </c>
      <c r="G181" s="19">
        <f t="shared" si="76"/>
        <v>712</v>
      </c>
      <c r="H181" s="3"/>
      <c r="I181" s="20">
        <f t="shared" ref="I181:K181" si="77">SUM(I179+I177+I174+I172+I170+I168+I161+I157+I153+I151+I141+I137+I133+I129+I125+I121+I117+I112+I106+I102+I96+I91+I82+I61+I58+I27+I2)</f>
        <v>504</v>
      </c>
      <c r="J181" s="20">
        <f t="shared" si="77"/>
        <v>208</v>
      </c>
      <c r="K181" s="20">
        <f t="shared" si="77"/>
        <v>712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3"/>
      <c r="C185" s="3"/>
      <c r="D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21" t="s">
        <v>161</v>
      </c>
      <c r="C186" s="21" t="s">
        <v>162</v>
      </c>
      <c r="D186" s="3"/>
      <c r="E186" s="21" t="s">
        <v>163</v>
      </c>
      <c r="F186" s="21" t="s">
        <v>162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9" t="s">
        <v>164</v>
      </c>
      <c r="C187" s="9">
        <f>SUM(G2+G27+G58)</f>
        <v>111</v>
      </c>
      <c r="D187" s="3"/>
      <c r="E187" s="9" t="s">
        <v>165</v>
      </c>
      <c r="F187" s="9">
        <f>D181</f>
        <v>287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9" t="s">
        <v>166</v>
      </c>
      <c r="C188" s="9">
        <f>SUM(G82+G91)</f>
        <v>274</v>
      </c>
      <c r="D188" s="3"/>
      <c r="E188" s="9" t="s">
        <v>4</v>
      </c>
      <c r="F188" s="9">
        <f>E181</f>
        <v>279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9" t="s">
        <v>167</v>
      </c>
      <c r="C189" s="9">
        <f>SUM(G96+G102+G106+G112+G117+G121+G125+G129+G151+G153)</f>
        <v>123</v>
      </c>
      <c r="D189" s="3"/>
      <c r="E189" s="9" t="s">
        <v>5</v>
      </c>
      <c r="F189" s="9">
        <f>F181</f>
        <v>146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9" t="s">
        <v>168</v>
      </c>
      <c r="C190" s="9">
        <f>SUM(G61+G133+G137+G141+G157+G161+G168+G170+G172+G174+G177+G179)</f>
        <v>204</v>
      </c>
      <c r="D190" s="3"/>
      <c r="E190" s="21" t="s">
        <v>6</v>
      </c>
      <c r="F190" s="21">
        <f>SUM(F187:F189)</f>
        <v>712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21" t="s">
        <v>6</v>
      </c>
      <c r="C191" s="21">
        <f>SUM(C187:C190)</f>
        <v>712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/>
    <row r="393" spans="1:26" ht="15.75" customHeight="1" x14ac:dyDescent="0.3"/>
    <row r="394" spans="1:26" ht="15.75" customHeight="1" x14ac:dyDescent="0.3"/>
    <row r="395" spans="1:26" ht="15.75" customHeight="1" x14ac:dyDescent="0.3"/>
    <row r="396" spans="1:26" ht="15.75" customHeight="1" x14ac:dyDescent="0.3"/>
    <row r="397" spans="1:26" ht="15.75" customHeight="1" x14ac:dyDescent="0.3"/>
    <row r="398" spans="1:26" ht="15.75" customHeight="1" x14ac:dyDescent="0.3"/>
    <row r="399" spans="1:26" ht="15.75" customHeight="1" x14ac:dyDescent="0.3"/>
    <row r="400" spans="1:26" ht="15.75" customHeight="1" x14ac:dyDescent="0.3"/>
    <row r="401" customFormat="1" ht="15.75" customHeight="1" x14ac:dyDescent="0.3"/>
    <row r="402" customFormat="1" ht="15.75" customHeight="1" x14ac:dyDescent="0.3"/>
    <row r="403" customFormat="1" ht="15.75" customHeight="1" x14ac:dyDescent="0.3"/>
    <row r="404" customFormat="1" ht="15.75" customHeight="1" x14ac:dyDescent="0.3"/>
    <row r="405" customFormat="1" ht="15.75" customHeight="1" x14ac:dyDescent="0.3"/>
    <row r="406" customFormat="1" ht="15.75" customHeight="1" x14ac:dyDescent="0.3"/>
    <row r="407" customFormat="1" ht="15.75" customHeight="1" x14ac:dyDescent="0.3"/>
    <row r="408" customFormat="1" ht="15.75" customHeight="1" x14ac:dyDescent="0.3"/>
    <row r="409" customFormat="1" ht="15.75" customHeight="1" x14ac:dyDescent="0.3"/>
    <row r="410" customFormat="1" ht="15.75" customHeight="1" x14ac:dyDescent="0.3"/>
    <row r="411" customFormat="1" ht="15.75" customHeight="1" x14ac:dyDescent="0.3"/>
    <row r="412" customFormat="1" ht="15.75" customHeight="1" x14ac:dyDescent="0.3"/>
    <row r="413" customFormat="1" ht="15.75" customHeight="1" x14ac:dyDescent="0.3"/>
    <row r="414" customFormat="1" ht="15.75" customHeight="1" x14ac:dyDescent="0.3"/>
    <row r="415" customFormat="1" ht="15.75" customHeight="1" x14ac:dyDescent="0.3"/>
    <row r="416" customFormat="1" ht="15.75" customHeight="1" x14ac:dyDescent="0.3"/>
    <row r="417" customFormat="1" ht="15.75" customHeight="1" x14ac:dyDescent="0.3"/>
    <row r="418" customFormat="1" ht="15.75" customHeight="1" x14ac:dyDescent="0.3"/>
    <row r="419" customFormat="1" ht="15.75" customHeight="1" x14ac:dyDescent="0.3"/>
    <row r="420" customFormat="1" ht="15.75" customHeight="1" x14ac:dyDescent="0.3"/>
    <row r="421" customFormat="1" ht="15.75" customHeight="1" x14ac:dyDescent="0.3"/>
    <row r="422" customFormat="1" ht="15.75" customHeight="1" x14ac:dyDescent="0.3"/>
    <row r="423" customFormat="1" ht="15.75" customHeight="1" x14ac:dyDescent="0.3"/>
    <row r="424" customFormat="1" ht="15.75" customHeight="1" x14ac:dyDescent="0.3"/>
    <row r="425" customFormat="1" ht="15.75" customHeight="1" x14ac:dyDescent="0.3"/>
    <row r="426" customFormat="1" ht="15.75" customHeight="1" x14ac:dyDescent="0.3"/>
    <row r="427" customFormat="1" ht="15.75" customHeight="1" x14ac:dyDescent="0.3"/>
    <row r="428" customFormat="1" ht="15.75" customHeight="1" x14ac:dyDescent="0.3"/>
    <row r="429" customFormat="1" ht="15.75" customHeight="1" x14ac:dyDescent="0.3"/>
    <row r="430" customFormat="1" ht="15.75" customHeight="1" x14ac:dyDescent="0.3"/>
    <row r="431" customFormat="1" ht="15.75" customHeight="1" x14ac:dyDescent="0.3"/>
    <row r="432" customFormat="1" ht="15.75" customHeight="1" x14ac:dyDescent="0.3"/>
    <row r="433" customFormat="1" ht="15.75" customHeight="1" x14ac:dyDescent="0.3"/>
    <row r="434" customFormat="1" ht="15.75" customHeight="1" x14ac:dyDescent="0.3"/>
    <row r="435" customFormat="1" ht="15.75" customHeight="1" x14ac:dyDescent="0.3"/>
    <row r="436" customFormat="1" ht="15.75" customHeight="1" x14ac:dyDescent="0.3"/>
    <row r="437" customFormat="1" ht="15.75" customHeight="1" x14ac:dyDescent="0.3"/>
    <row r="438" customFormat="1" ht="15.75" customHeight="1" x14ac:dyDescent="0.3"/>
    <row r="439" customFormat="1" ht="15.75" customHeight="1" x14ac:dyDescent="0.3"/>
    <row r="440" customFormat="1" ht="15.75" customHeight="1" x14ac:dyDescent="0.3"/>
    <row r="441" customFormat="1" ht="15.75" customHeight="1" x14ac:dyDescent="0.3"/>
    <row r="442" customFormat="1" ht="15.75" customHeight="1" x14ac:dyDescent="0.3"/>
    <row r="443" customFormat="1" ht="15.75" customHeight="1" x14ac:dyDescent="0.3"/>
    <row r="444" customFormat="1" ht="15.75" customHeight="1" x14ac:dyDescent="0.3"/>
    <row r="445" customFormat="1" ht="15.75" customHeight="1" x14ac:dyDescent="0.3"/>
    <row r="446" customFormat="1" ht="15.75" customHeight="1" x14ac:dyDescent="0.3"/>
    <row r="447" customFormat="1" ht="15.75" customHeight="1" x14ac:dyDescent="0.3"/>
    <row r="448" customFormat="1" ht="15.75" customHeight="1" x14ac:dyDescent="0.3"/>
    <row r="449" customFormat="1" ht="15.75" customHeight="1" x14ac:dyDescent="0.3"/>
    <row r="450" customFormat="1" ht="15.75" customHeight="1" x14ac:dyDescent="0.3"/>
    <row r="451" customFormat="1" ht="15.75" customHeight="1" x14ac:dyDescent="0.3"/>
    <row r="452" customFormat="1" ht="15.75" customHeight="1" x14ac:dyDescent="0.3"/>
    <row r="453" customFormat="1" ht="15.75" customHeight="1" x14ac:dyDescent="0.3"/>
    <row r="454" customFormat="1" ht="15.75" customHeight="1" x14ac:dyDescent="0.3"/>
    <row r="455" customFormat="1" ht="15.75" customHeight="1" x14ac:dyDescent="0.3"/>
    <row r="456" customFormat="1" ht="15.75" customHeight="1" x14ac:dyDescent="0.3"/>
    <row r="457" customFormat="1" ht="15.75" customHeight="1" x14ac:dyDescent="0.3"/>
    <row r="458" customFormat="1" ht="15.75" customHeight="1" x14ac:dyDescent="0.3"/>
    <row r="459" customFormat="1" ht="15.75" customHeight="1" x14ac:dyDescent="0.3"/>
    <row r="460" customFormat="1" ht="15.75" customHeight="1" x14ac:dyDescent="0.3"/>
    <row r="461" customFormat="1" ht="15.75" customHeight="1" x14ac:dyDescent="0.3"/>
    <row r="462" customFormat="1" ht="15.75" customHeight="1" x14ac:dyDescent="0.3"/>
    <row r="463" customFormat="1" ht="15.75" customHeight="1" x14ac:dyDescent="0.3"/>
    <row r="464" customFormat="1" ht="15.75" customHeight="1" x14ac:dyDescent="0.3"/>
    <row r="465" customFormat="1" ht="15.75" customHeight="1" x14ac:dyDescent="0.3"/>
    <row r="466" customFormat="1" ht="15.75" customHeight="1" x14ac:dyDescent="0.3"/>
    <row r="467" customFormat="1" ht="15.75" customHeight="1" x14ac:dyDescent="0.3"/>
    <row r="468" customFormat="1" ht="15.75" customHeight="1" x14ac:dyDescent="0.3"/>
    <row r="469" customFormat="1" ht="15.75" customHeight="1" x14ac:dyDescent="0.3"/>
    <row r="470" customFormat="1" ht="15.75" customHeight="1" x14ac:dyDescent="0.3"/>
    <row r="471" customFormat="1" ht="15.75" customHeight="1" x14ac:dyDescent="0.3"/>
    <row r="472" customFormat="1" ht="15.75" customHeight="1" x14ac:dyDescent="0.3"/>
    <row r="473" customFormat="1" ht="15.75" customHeight="1" x14ac:dyDescent="0.3"/>
    <row r="474" customFormat="1" ht="15.75" customHeight="1" x14ac:dyDescent="0.3"/>
    <row r="475" customFormat="1" ht="15.75" customHeight="1" x14ac:dyDescent="0.3"/>
    <row r="476" customFormat="1" ht="15.75" customHeight="1" x14ac:dyDescent="0.3"/>
    <row r="477" customFormat="1" ht="15.75" customHeight="1" x14ac:dyDescent="0.3"/>
    <row r="478" customFormat="1" ht="15.75" customHeight="1" x14ac:dyDescent="0.3"/>
    <row r="479" customFormat="1" ht="15.75" customHeight="1" x14ac:dyDescent="0.3"/>
    <row r="480" customFormat="1" ht="15.75" customHeight="1" x14ac:dyDescent="0.3"/>
    <row r="481" customFormat="1" ht="15.75" customHeight="1" x14ac:dyDescent="0.3"/>
    <row r="482" customFormat="1" ht="15.75" customHeight="1" x14ac:dyDescent="0.3"/>
    <row r="483" customFormat="1" ht="15.75" customHeight="1" x14ac:dyDescent="0.3"/>
    <row r="484" customFormat="1" ht="15.75" customHeight="1" x14ac:dyDescent="0.3"/>
    <row r="485" customFormat="1" ht="15.75" customHeight="1" x14ac:dyDescent="0.3"/>
    <row r="486" customFormat="1" ht="15.75" customHeight="1" x14ac:dyDescent="0.3"/>
    <row r="487" customFormat="1" ht="15.75" customHeight="1" x14ac:dyDescent="0.3"/>
    <row r="488" customFormat="1" ht="15.75" customHeight="1" x14ac:dyDescent="0.3"/>
    <row r="489" customFormat="1" ht="15.75" customHeight="1" x14ac:dyDescent="0.3"/>
    <row r="490" customFormat="1" ht="15.75" customHeight="1" x14ac:dyDescent="0.3"/>
    <row r="491" customFormat="1" ht="15.75" customHeight="1" x14ac:dyDescent="0.3"/>
    <row r="492" customFormat="1" ht="15.75" customHeight="1" x14ac:dyDescent="0.3"/>
    <row r="493" customFormat="1" ht="15.75" customHeight="1" x14ac:dyDescent="0.3"/>
    <row r="494" customFormat="1" ht="15.75" customHeight="1" x14ac:dyDescent="0.3"/>
    <row r="495" customFormat="1" ht="15.75" customHeight="1" x14ac:dyDescent="0.3"/>
    <row r="496" customFormat="1" ht="15.75" customHeight="1" x14ac:dyDescent="0.3"/>
    <row r="497" customFormat="1" ht="15.75" customHeight="1" x14ac:dyDescent="0.3"/>
    <row r="498" customFormat="1" ht="15.75" customHeight="1" x14ac:dyDescent="0.3"/>
    <row r="499" customFormat="1" ht="15.75" customHeight="1" x14ac:dyDescent="0.3"/>
    <row r="500" customFormat="1" ht="15.75" customHeight="1" x14ac:dyDescent="0.3"/>
    <row r="501" customFormat="1" ht="15.75" customHeight="1" x14ac:dyDescent="0.3"/>
    <row r="502" customFormat="1" ht="15.75" customHeight="1" x14ac:dyDescent="0.3"/>
    <row r="503" customFormat="1" ht="15.75" customHeight="1" x14ac:dyDescent="0.3"/>
    <row r="504" customFormat="1" ht="15.75" customHeight="1" x14ac:dyDescent="0.3"/>
    <row r="505" customFormat="1" ht="15.75" customHeight="1" x14ac:dyDescent="0.3"/>
    <row r="506" customFormat="1" ht="15.75" customHeight="1" x14ac:dyDescent="0.3"/>
    <row r="507" customFormat="1" ht="15.75" customHeight="1" x14ac:dyDescent="0.3"/>
    <row r="508" customFormat="1" ht="15.75" customHeight="1" x14ac:dyDescent="0.3"/>
    <row r="509" customFormat="1" ht="15.75" customHeight="1" x14ac:dyDescent="0.3"/>
    <row r="510" customFormat="1" ht="15.75" customHeight="1" x14ac:dyDescent="0.3"/>
    <row r="511" customFormat="1" ht="15.75" customHeight="1" x14ac:dyDescent="0.3"/>
    <row r="512" customFormat="1" ht="15.75" customHeight="1" x14ac:dyDescent="0.3"/>
    <row r="513" customFormat="1" ht="15.75" customHeight="1" x14ac:dyDescent="0.3"/>
    <row r="514" customFormat="1" ht="15.75" customHeight="1" x14ac:dyDescent="0.3"/>
    <row r="515" customFormat="1" ht="15.75" customHeight="1" x14ac:dyDescent="0.3"/>
    <row r="516" customFormat="1" ht="15.75" customHeight="1" x14ac:dyDescent="0.3"/>
    <row r="517" customFormat="1" ht="15.75" customHeight="1" x14ac:dyDescent="0.3"/>
    <row r="518" customFormat="1" ht="15.75" customHeight="1" x14ac:dyDescent="0.3"/>
    <row r="519" customFormat="1" ht="15.75" customHeight="1" x14ac:dyDescent="0.3"/>
    <row r="520" customFormat="1" ht="15.75" customHeight="1" x14ac:dyDescent="0.3"/>
    <row r="521" customFormat="1" ht="15.75" customHeight="1" x14ac:dyDescent="0.3"/>
    <row r="522" customFormat="1" ht="15.75" customHeight="1" x14ac:dyDescent="0.3"/>
    <row r="523" customFormat="1" ht="15.75" customHeight="1" x14ac:dyDescent="0.3"/>
    <row r="524" customFormat="1" ht="15.75" customHeight="1" x14ac:dyDescent="0.3"/>
    <row r="525" customFormat="1" ht="15.75" customHeight="1" x14ac:dyDescent="0.3"/>
    <row r="526" customFormat="1" ht="15.75" customHeight="1" x14ac:dyDescent="0.3"/>
    <row r="527" customFormat="1" ht="15.75" customHeight="1" x14ac:dyDescent="0.3"/>
    <row r="528" customFormat="1" ht="15.75" customHeight="1" x14ac:dyDescent="0.3"/>
    <row r="529" customFormat="1" ht="15.75" customHeight="1" x14ac:dyDescent="0.3"/>
    <row r="530" customFormat="1" ht="15.75" customHeight="1" x14ac:dyDescent="0.3"/>
    <row r="531" customFormat="1" ht="15.75" customHeight="1" x14ac:dyDescent="0.3"/>
    <row r="532" customFormat="1" ht="15.75" customHeight="1" x14ac:dyDescent="0.3"/>
    <row r="533" customFormat="1" ht="15.75" customHeight="1" x14ac:dyDescent="0.3"/>
    <row r="534" customFormat="1" ht="15.75" customHeight="1" x14ac:dyDescent="0.3"/>
    <row r="535" customFormat="1" ht="15.75" customHeight="1" x14ac:dyDescent="0.3"/>
    <row r="536" customFormat="1" ht="15.75" customHeight="1" x14ac:dyDescent="0.3"/>
    <row r="537" customFormat="1" ht="15.75" customHeight="1" x14ac:dyDescent="0.3"/>
    <row r="538" customFormat="1" ht="15.75" customHeight="1" x14ac:dyDescent="0.3"/>
    <row r="539" customFormat="1" ht="15.75" customHeight="1" x14ac:dyDescent="0.3"/>
    <row r="540" customFormat="1" ht="15.75" customHeight="1" x14ac:dyDescent="0.3"/>
    <row r="541" customFormat="1" ht="15.75" customHeight="1" x14ac:dyDescent="0.3"/>
    <row r="542" customFormat="1" ht="15.75" customHeight="1" x14ac:dyDescent="0.3"/>
    <row r="543" customFormat="1" ht="15.75" customHeight="1" x14ac:dyDescent="0.3"/>
    <row r="544" customFormat="1" ht="15.75" customHeight="1" x14ac:dyDescent="0.3"/>
    <row r="545" customFormat="1" ht="15.75" customHeight="1" x14ac:dyDescent="0.3"/>
    <row r="546" customFormat="1" ht="15.75" customHeight="1" x14ac:dyDescent="0.3"/>
    <row r="547" customFormat="1" ht="15.75" customHeight="1" x14ac:dyDescent="0.3"/>
    <row r="548" customFormat="1" ht="15.75" customHeight="1" x14ac:dyDescent="0.3"/>
    <row r="549" customFormat="1" ht="15.75" customHeight="1" x14ac:dyDescent="0.3"/>
    <row r="550" customFormat="1" ht="15.75" customHeight="1" x14ac:dyDescent="0.3"/>
    <row r="551" customFormat="1" ht="15.75" customHeight="1" x14ac:dyDescent="0.3"/>
    <row r="552" customFormat="1" ht="15.75" customHeight="1" x14ac:dyDescent="0.3"/>
    <row r="553" customFormat="1" ht="15.75" customHeight="1" x14ac:dyDescent="0.3"/>
    <row r="554" customFormat="1" ht="15.75" customHeight="1" x14ac:dyDescent="0.3"/>
    <row r="555" customFormat="1" ht="15.75" customHeight="1" x14ac:dyDescent="0.3"/>
    <row r="556" customFormat="1" ht="15.75" customHeight="1" x14ac:dyDescent="0.3"/>
    <row r="557" customFormat="1" ht="15.75" customHeight="1" x14ac:dyDescent="0.3"/>
    <row r="558" customFormat="1" ht="15.75" customHeight="1" x14ac:dyDescent="0.3"/>
    <row r="559" customFormat="1" ht="15.75" customHeight="1" x14ac:dyDescent="0.3"/>
    <row r="560" customFormat="1" ht="15.75" customHeight="1" x14ac:dyDescent="0.3"/>
    <row r="561" customFormat="1" ht="15.75" customHeight="1" x14ac:dyDescent="0.3"/>
    <row r="562" customFormat="1" ht="15.75" customHeight="1" x14ac:dyDescent="0.3"/>
    <row r="563" customFormat="1" ht="15.75" customHeight="1" x14ac:dyDescent="0.3"/>
    <row r="564" customFormat="1" ht="15.75" customHeight="1" x14ac:dyDescent="0.3"/>
    <row r="565" customFormat="1" ht="15.75" customHeight="1" x14ac:dyDescent="0.3"/>
    <row r="566" customFormat="1" ht="15.75" customHeight="1" x14ac:dyDescent="0.3"/>
    <row r="567" customFormat="1" ht="15.75" customHeight="1" x14ac:dyDescent="0.3"/>
    <row r="568" customFormat="1" ht="15.75" customHeight="1" x14ac:dyDescent="0.3"/>
    <row r="569" customFormat="1" ht="15.75" customHeight="1" x14ac:dyDescent="0.3"/>
    <row r="570" customFormat="1" ht="15.75" customHeight="1" x14ac:dyDescent="0.3"/>
    <row r="571" customFormat="1" ht="15.75" customHeight="1" x14ac:dyDescent="0.3"/>
    <row r="572" customFormat="1" ht="15.75" customHeight="1" x14ac:dyDescent="0.3"/>
    <row r="573" customFormat="1" ht="15.75" customHeight="1" x14ac:dyDescent="0.3"/>
    <row r="574" customFormat="1" ht="15.75" customHeight="1" x14ac:dyDescent="0.3"/>
    <row r="575" customFormat="1" ht="15.75" customHeight="1" x14ac:dyDescent="0.3"/>
    <row r="576" customFormat="1" ht="15.75" customHeight="1" x14ac:dyDescent="0.3"/>
    <row r="577" customFormat="1" ht="15.75" customHeight="1" x14ac:dyDescent="0.3"/>
    <row r="578" customFormat="1" ht="15.75" customHeight="1" x14ac:dyDescent="0.3"/>
    <row r="579" customFormat="1" ht="15.75" customHeight="1" x14ac:dyDescent="0.3"/>
    <row r="580" customFormat="1" ht="15.75" customHeight="1" x14ac:dyDescent="0.3"/>
    <row r="581" customFormat="1" ht="15.75" customHeight="1" x14ac:dyDescent="0.3"/>
    <row r="582" customFormat="1" ht="15.75" customHeight="1" x14ac:dyDescent="0.3"/>
    <row r="583" customFormat="1" ht="15.75" customHeight="1" x14ac:dyDescent="0.3"/>
    <row r="584" customFormat="1" ht="15.75" customHeight="1" x14ac:dyDescent="0.3"/>
    <row r="585" customFormat="1" ht="15.75" customHeight="1" x14ac:dyDescent="0.3"/>
    <row r="586" customFormat="1" ht="15.75" customHeight="1" x14ac:dyDescent="0.3"/>
    <row r="587" customFormat="1" ht="15.75" customHeight="1" x14ac:dyDescent="0.3"/>
    <row r="588" customFormat="1" ht="15.75" customHeight="1" x14ac:dyDescent="0.3"/>
    <row r="589" customFormat="1" ht="15.75" customHeight="1" x14ac:dyDescent="0.3"/>
    <row r="590" customFormat="1" ht="15.75" customHeight="1" x14ac:dyDescent="0.3"/>
    <row r="591" customFormat="1" ht="15.75" customHeight="1" x14ac:dyDescent="0.3"/>
    <row r="592" customFormat="1" ht="15.75" customHeight="1" x14ac:dyDescent="0.3"/>
    <row r="593" customFormat="1" ht="15.75" customHeight="1" x14ac:dyDescent="0.3"/>
    <row r="594" customFormat="1" ht="15.75" customHeight="1" x14ac:dyDescent="0.3"/>
    <row r="595" customFormat="1" ht="15.75" customHeight="1" x14ac:dyDescent="0.3"/>
    <row r="596" customFormat="1" ht="15.75" customHeight="1" x14ac:dyDescent="0.3"/>
    <row r="597" customFormat="1" ht="15.75" customHeight="1" x14ac:dyDescent="0.3"/>
    <row r="598" customFormat="1" ht="15.75" customHeight="1" x14ac:dyDescent="0.3"/>
    <row r="599" customFormat="1" ht="15.75" customHeight="1" x14ac:dyDescent="0.3"/>
    <row r="600" customFormat="1" ht="15.75" customHeight="1" x14ac:dyDescent="0.3"/>
    <row r="601" customFormat="1" ht="15.75" customHeight="1" x14ac:dyDescent="0.3"/>
    <row r="602" customFormat="1" ht="15.75" customHeight="1" x14ac:dyDescent="0.3"/>
    <row r="603" customFormat="1" ht="15.75" customHeight="1" x14ac:dyDescent="0.3"/>
    <row r="604" customFormat="1" ht="15.75" customHeight="1" x14ac:dyDescent="0.3"/>
    <row r="605" customFormat="1" ht="15.75" customHeight="1" x14ac:dyDescent="0.3"/>
    <row r="606" customFormat="1" ht="15.75" customHeight="1" x14ac:dyDescent="0.3"/>
    <row r="607" customFormat="1" ht="15.75" customHeight="1" x14ac:dyDescent="0.3"/>
    <row r="608" customFormat="1" ht="15.75" customHeight="1" x14ac:dyDescent="0.3"/>
    <row r="609" customFormat="1" ht="15.75" customHeight="1" x14ac:dyDescent="0.3"/>
    <row r="610" customFormat="1" ht="15.75" customHeight="1" x14ac:dyDescent="0.3"/>
    <row r="611" customFormat="1" ht="15.75" customHeight="1" x14ac:dyDescent="0.3"/>
    <row r="612" customFormat="1" ht="15.75" customHeight="1" x14ac:dyDescent="0.3"/>
    <row r="613" customFormat="1" ht="15.75" customHeight="1" x14ac:dyDescent="0.3"/>
    <row r="614" customFormat="1" ht="15.75" customHeight="1" x14ac:dyDescent="0.3"/>
    <row r="615" customFormat="1" ht="15.75" customHeight="1" x14ac:dyDescent="0.3"/>
    <row r="616" customFormat="1" ht="15.75" customHeight="1" x14ac:dyDescent="0.3"/>
    <row r="617" customFormat="1" ht="15.75" customHeight="1" x14ac:dyDescent="0.3"/>
    <row r="618" customFormat="1" ht="15.75" customHeight="1" x14ac:dyDescent="0.3"/>
    <row r="619" customFormat="1" ht="15.75" customHeight="1" x14ac:dyDescent="0.3"/>
    <row r="620" customFormat="1" ht="15.75" customHeight="1" x14ac:dyDescent="0.3"/>
    <row r="621" customFormat="1" ht="15.75" customHeight="1" x14ac:dyDescent="0.3"/>
    <row r="622" customFormat="1" ht="15.75" customHeight="1" x14ac:dyDescent="0.3"/>
    <row r="623" customFormat="1" ht="15.75" customHeight="1" x14ac:dyDescent="0.3"/>
    <row r="624" customFormat="1" ht="15.75" customHeight="1" x14ac:dyDescent="0.3"/>
    <row r="625" customFormat="1" ht="15.75" customHeight="1" x14ac:dyDescent="0.3"/>
    <row r="626" customFormat="1" ht="15.75" customHeight="1" x14ac:dyDescent="0.3"/>
    <row r="627" customFormat="1" ht="15.75" customHeight="1" x14ac:dyDescent="0.3"/>
    <row r="628" customFormat="1" ht="15.75" customHeight="1" x14ac:dyDescent="0.3"/>
    <row r="629" customFormat="1" ht="15.75" customHeight="1" x14ac:dyDescent="0.3"/>
    <row r="630" customFormat="1" ht="15.75" customHeight="1" x14ac:dyDescent="0.3"/>
    <row r="631" customFormat="1" ht="15.75" customHeight="1" x14ac:dyDescent="0.3"/>
    <row r="632" customFormat="1" ht="15.75" customHeight="1" x14ac:dyDescent="0.3"/>
    <row r="633" customFormat="1" ht="15.75" customHeight="1" x14ac:dyDescent="0.3"/>
    <row r="634" customFormat="1" ht="15.75" customHeight="1" x14ac:dyDescent="0.3"/>
    <row r="635" customFormat="1" ht="15.75" customHeight="1" x14ac:dyDescent="0.3"/>
    <row r="636" customFormat="1" ht="15.75" customHeight="1" x14ac:dyDescent="0.3"/>
    <row r="637" customFormat="1" ht="15.75" customHeight="1" x14ac:dyDescent="0.3"/>
    <row r="638" customFormat="1" ht="15.75" customHeight="1" x14ac:dyDescent="0.3"/>
    <row r="639" customFormat="1" ht="15.75" customHeight="1" x14ac:dyDescent="0.3"/>
    <row r="640" customFormat="1" ht="15.75" customHeight="1" x14ac:dyDescent="0.3"/>
    <row r="641" customFormat="1" ht="15.75" customHeight="1" x14ac:dyDescent="0.3"/>
    <row r="642" customFormat="1" ht="15.75" customHeight="1" x14ac:dyDescent="0.3"/>
    <row r="643" customFormat="1" ht="15.75" customHeight="1" x14ac:dyDescent="0.3"/>
    <row r="644" customFormat="1" ht="15.75" customHeight="1" x14ac:dyDescent="0.3"/>
    <row r="645" customFormat="1" ht="15.75" customHeight="1" x14ac:dyDescent="0.3"/>
    <row r="646" customFormat="1" ht="15.75" customHeight="1" x14ac:dyDescent="0.3"/>
    <row r="647" customFormat="1" ht="15.75" customHeight="1" x14ac:dyDescent="0.3"/>
    <row r="648" customFormat="1" ht="15.75" customHeight="1" x14ac:dyDescent="0.3"/>
    <row r="649" customFormat="1" ht="15.75" customHeight="1" x14ac:dyDescent="0.3"/>
    <row r="650" customFormat="1" ht="15.75" customHeight="1" x14ac:dyDescent="0.3"/>
    <row r="651" customFormat="1" ht="15.75" customHeight="1" x14ac:dyDescent="0.3"/>
    <row r="652" customFormat="1" ht="15.75" customHeight="1" x14ac:dyDescent="0.3"/>
    <row r="653" customFormat="1" ht="15.75" customHeight="1" x14ac:dyDescent="0.3"/>
    <row r="654" customFormat="1" ht="15.75" customHeight="1" x14ac:dyDescent="0.3"/>
    <row r="655" customFormat="1" ht="15.75" customHeight="1" x14ac:dyDescent="0.3"/>
    <row r="656" customFormat="1" ht="15.75" customHeight="1" x14ac:dyDescent="0.3"/>
    <row r="657" customFormat="1" ht="15.75" customHeight="1" x14ac:dyDescent="0.3"/>
    <row r="658" customFormat="1" ht="15.75" customHeight="1" x14ac:dyDescent="0.3"/>
    <row r="659" customFormat="1" ht="15.75" customHeight="1" x14ac:dyDescent="0.3"/>
    <row r="660" customFormat="1" ht="15.75" customHeight="1" x14ac:dyDescent="0.3"/>
    <row r="661" customFormat="1" ht="15.75" customHeight="1" x14ac:dyDescent="0.3"/>
    <row r="662" customFormat="1" ht="15.75" customHeight="1" x14ac:dyDescent="0.3"/>
    <row r="663" customFormat="1" ht="15.75" customHeight="1" x14ac:dyDescent="0.3"/>
    <row r="664" customFormat="1" ht="15.75" customHeight="1" x14ac:dyDescent="0.3"/>
    <row r="665" customFormat="1" ht="15.75" customHeight="1" x14ac:dyDescent="0.3"/>
    <row r="666" customFormat="1" ht="15.75" customHeight="1" x14ac:dyDescent="0.3"/>
    <row r="667" customFormat="1" ht="15.75" customHeight="1" x14ac:dyDescent="0.3"/>
    <row r="668" customFormat="1" ht="15.75" customHeight="1" x14ac:dyDescent="0.3"/>
    <row r="669" customFormat="1" ht="15.75" customHeight="1" x14ac:dyDescent="0.3"/>
    <row r="670" customFormat="1" ht="15.75" customHeight="1" x14ac:dyDescent="0.3"/>
    <row r="671" customFormat="1" ht="15.75" customHeight="1" x14ac:dyDescent="0.3"/>
    <row r="672" customFormat="1" ht="15.75" customHeight="1" x14ac:dyDescent="0.3"/>
    <row r="673" customFormat="1" ht="15.75" customHeight="1" x14ac:dyDescent="0.3"/>
    <row r="674" customFormat="1" ht="15.75" customHeight="1" x14ac:dyDescent="0.3"/>
    <row r="675" customFormat="1" ht="15.75" customHeight="1" x14ac:dyDescent="0.3"/>
    <row r="676" customFormat="1" ht="15.75" customHeight="1" x14ac:dyDescent="0.3"/>
    <row r="677" customFormat="1" ht="15.75" customHeight="1" x14ac:dyDescent="0.3"/>
    <row r="678" customFormat="1" ht="15.75" customHeight="1" x14ac:dyDescent="0.3"/>
    <row r="679" customFormat="1" ht="15.75" customHeight="1" x14ac:dyDescent="0.3"/>
    <row r="680" customFormat="1" ht="15.75" customHeight="1" x14ac:dyDescent="0.3"/>
    <row r="681" customFormat="1" ht="15.75" customHeight="1" x14ac:dyDescent="0.3"/>
    <row r="682" customFormat="1" ht="15.75" customHeight="1" x14ac:dyDescent="0.3"/>
    <row r="683" customFormat="1" ht="15.75" customHeight="1" x14ac:dyDescent="0.3"/>
    <row r="684" customFormat="1" ht="15.75" customHeight="1" x14ac:dyDescent="0.3"/>
    <row r="685" customFormat="1" ht="15.75" customHeight="1" x14ac:dyDescent="0.3"/>
    <row r="686" customFormat="1" ht="15.75" customHeight="1" x14ac:dyDescent="0.3"/>
    <row r="687" customFormat="1" ht="15.75" customHeight="1" x14ac:dyDescent="0.3"/>
    <row r="688" customFormat="1" ht="15.75" customHeight="1" x14ac:dyDescent="0.3"/>
    <row r="689" customFormat="1" ht="15.75" customHeight="1" x14ac:dyDescent="0.3"/>
    <row r="690" customFormat="1" ht="15.75" customHeight="1" x14ac:dyDescent="0.3"/>
    <row r="691" customFormat="1" ht="15.75" customHeight="1" x14ac:dyDescent="0.3"/>
    <row r="692" customFormat="1" ht="15.75" customHeight="1" x14ac:dyDescent="0.3"/>
    <row r="693" customFormat="1" ht="15.75" customHeight="1" x14ac:dyDescent="0.3"/>
    <row r="694" customFormat="1" ht="15.75" customHeight="1" x14ac:dyDescent="0.3"/>
    <row r="695" customFormat="1" ht="15.75" customHeight="1" x14ac:dyDescent="0.3"/>
    <row r="696" customFormat="1" ht="15.75" customHeight="1" x14ac:dyDescent="0.3"/>
    <row r="697" customFormat="1" ht="15.75" customHeight="1" x14ac:dyDescent="0.3"/>
    <row r="698" customFormat="1" ht="15.75" customHeight="1" x14ac:dyDescent="0.3"/>
    <row r="699" customFormat="1" ht="15.75" customHeight="1" x14ac:dyDescent="0.3"/>
    <row r="700" customFormat="1" ht="15.75" customHeight="1" x14ac:dyDescent="0.3"/>
    <row r="701" customFormat="1" ht="15.75" customHeight="1" x14ac:dyDescent="0.3"/>
    <row r="702" customFormat="1" ht="15.75" customHeight="1" x14ac:dyDescent="0.3"/>
    <row r="703" customFormat="1" ht="15.75" customHeight="1" x14ac:dyDescent="0.3"/>
    <row r="704" customFormat="1" ht="15.75" customHeight="1" x14ac:dyDescent="0.3"/>
    <row r="705" customFormat="1" ht="15.75" customHeight="1" x14ac:dyDescent="0.3"/>
    <row r="706" customFormat="1" ht="15.75" customHeight="1" x14ac:dyDescent="0.3"/>
    <row r="707" customFormat="1" ht="15.75" customHeight="1" x14ac:dyDescent="0.3"/>
    <row r="708" customFormat="1" ht="15.75" customHeight="1" x14ac:dyDescent="0.3"/>
    <row r="709" customFormat="1" ht="15.75" customHeight="1" x14ac:dyDescent="0.3"/>
    <row r="710" customFormat="1" ht="15.75" customHeight="1" x14ac:dyDescent="0.3"/>
    <row r="711" customFormat="1" ht="15.75" customHeight="1" x14ac:dyDescent="0.3"/>
    <row r="712" customFormat="1" ht="15.75" customHeight="1" x14ac:dyDescent="0.3"/>
    <row r="713" customFormat="1" ht="15.75" customHeight="1" x14ac:dyDescent="0.3"/>
    <row r="714" customFormat="1" ht="15.75" customHeight="1" x14ac:dyDescent="0.3"/>
    <row r="715" customFormat="1" ht="15.75" customHeight="1" x14ac:dyDescent="0.3"/>
    <row r="716" customFormat="1" ht="15.75" customHeight="1" x14ac:dyDescent="0.3"/>
    <row r="717" customFormat="1" ht="15.75" customHeight="1" x14ac:dyDescent="0.3"/>
    <row r="718" customFormat="1" ht="15.75" customHeight="1" x14ac:dyDescent="0.3"/>
    <row r="719" customFormat="1" ht="15.75" customHeight="1" x14ac:dyDescent="0.3"/>
    <row r="720" customFormat="1" ht="15.75" customHeight="1" x14ac:dyDescent="0.3"/>
    <row r="721" customFormat="1" ht="15.75" customHeight="1" x14ac:dyDescent="0.3"/>
    <row r="722" customFormat="1" ht="15.75" customHeight="1" x14ac:dyDescent="0.3"/>
    <row r="723" customFormat="1" ht="15.75" customHeight="1" x14ac:dyDescent="0.3"/>
    <row r="724" customFormat="1" ht="15.75" customHeight="1" x14ac:dyDescent="0.3"/>
    <row r="725" customFormat="1" ht="15.75" customHeight="1" x14ac:dyDescent="0.3"/>
    <row r="726" customFormat="1" ht="15.75" customHeight="1" x14ac:dyDescent="0.3"/>
    <row r="727" customFormat="1" ht="15.75" customHeight="1" x14ac:dyDescent="0.3"/>
    <row r="728" customFormat="1" ht="15.75" customHeight="1" x14ac:dyDescent="0.3"/>
    <row r="729" customFormat="1" ht="15.75" customHeight="1" x14ac:dyDescent="0.3"/>
    <row r="730" customFormat="1" ht="15.75" customHeight="1" x14ac:dyDescent="0.3"/>
    <row r="731" customFormat="1" ht="15.75" customHeight="1" x14ac:dyDescent="0.3"/>
    <row r="732" customFormat="1" ht="15.75" customHeight="1" x14ac:dyDescent="0.3"/>
    <row r="733" customFormat="1" ht="15.75" customHeight="1" x14ac:dyDescent="0.3"/>
    <row r="734" customFormat="1" ht="15.75" customHeight="1" x14ac:dyDescent="0.3"/>
    <row r="735" customFormat="1" ht="15.75" customHeight="1" x14ac:dyDescent="0.3"/>
    <row r="736" customFormat="1" ht="15.75" customHeight="1" x14ac:dyDescent="0.3"/>
    <row r="737" customFormat="1" ht="15.75" customHeight="1" x14ac:dyDescent="0.3"/>
    <row r="738" customFormat="1" ht="15.75" customHeight="1" x14ac:dyDescent="0.3"/>
    <row r="739" customFormat="1" ht="15.75" customHeight="1" x14ac:dyDescent="0.3"/>
    <row r="740" customFormat="1" ht="15.75" customHeight="1" x14ac:dyDescent="0.3"/>
    <row r="741" customFormat="1" ht="15.75" customHeight="1" x14ac:dyDescent="0.3"/>
    <row r="742" customFormat="1" ht="15.75" customHeight="1" x14ac:dyDescent="0.3"/>
    <row r="743" customFormat="1" ht="15.75" customHeight="1" x14ac:dyDescent="0.3"/>
    <row r="744" customFormat="1" ht="15.75" customHeight="1" x14ac:dyDescent="0.3"/>
    <row r="745" customFormat="1" ht="15.75" customHeight="1" x14ac:dyDescent="0.3"/>
    <row r="746" customFormat="1" ht="15.75" customHeight="1" x14ac:dyDescent="0.3"/>
    <row r="747" customFormat="1" ht="15.75" customHeight="1" x14ac:dyDescent="0.3"/>
    <row r="748" customFormat="1" ht="15.75" customHeight="1" x14ac:dyDescent="0.3"/>
    <row r="749" customFormat="1" ht="15.75" customHeight="1" x14ac:dyDescent="0.3"/>
    <row r="750" customFormat="1" ht="15.75" customHeight="1" x14ac:dyDescent="0.3"/>
    <row r="751" customFormat="1" ht="15.75" customHeight="1" x14ac:dyDescent="0.3"/>
    <row r="752" customFormat="1" ht="15.75" customHeight="1" x14ac:dyDescent="0.3"/>
    <row r="753" customFormat="1" ht="15.75" customHeight="1" x14ac:dyDescent="0.3"/>
    <row r="754" customFormat="1" ht="15.75" customHeight="1" x14ac:dyDescent="0.3"/>
    <row r="755" customFormat="1" ht="15.75" customHeight="1" x14ac:dyDescent="0.3"/>
    <row r="756" customFormat="1" ht="15.75" customHeight="1" x14ac:dyDescent="0.3"/>
    <row r="757" customFormat="1" ht="15.75" customHeight="1" x14ac:dyDescent="0.3"/>
    <row r="758" customFormat="1" ht="15.75" customHeight="1" x14ac:dyDescent="0.3"/>
    <row r="759" customFormat="1" ht="15.75" customHeight="1" x14ac:dyDescent="0.3"/>
    <row r="760" customFormat="1" ht="15.75" customHeight="1" x14ac:dyDescent="0.3"/>
    <row r="761" customFormat="1" ht="15.75" customHeight="1" x14ac:dyDescent="0.3"/>
    <row r="762" customFormat="1" ht="15.75" customHeight="1" x14ac:dyDescent="0.3"/>
    <row r="763" customFormat="1" ht="15.75" customHeight="1" x14ac:dyDescent="0.3"/>
    <row r="764" customFormat="1" ht="15.75" customHeight="1" x14ac:dyDescent="0.3"/>
    <row r="765" customFormat="1" ht="15.75" customHeight="1" x14ac:dyDescent="0.3"/>
    <row r="766" customFormat="1" ht="15.75" customHeight="1" x14ac:dyDescent="0.3"/>
    <row r="767" customFormat="1" ht="15.75" customHeight="1" x14ac:dyDescent="0.3"/>
    <row r="768" customFormat="1" ht="15.75" customHeight="1" x14ac:dyDescent="0.3"/>
    <row r="769" customFormat="1" ht="15.75" customHeight="1" x14ac:dyDescent="0.3"/>
    <row r="770" customFormat="1" ht="15.75" customHeight="1" x14ac:dyDescent="0.3"/>
    <row r="771" customFormat="1" ht="15.75" customHeight="1" x14ac:dyDescent="0.3"/>
    <row r="772" customFormat="1" ht="15.75" customHeight="1" x14ac:dyDescent="0.3"/>
    <row r="773" customFormat="1" ht="15.75" customHeight="1" x14ac:dyDescent="0.3"/>
    <row r="774" customFormat="1" ht="15.75" customHeight="1" x14ac:dyDescent="0.3"/>
    <row r="775" customFormat="1" ht="15.75" customHeight="1" x14ac:dyDescent="0.3"/>
    <row r="776" customFormat="1" ht="15.75" customHeight="1" x14ac:dyDescent="0.3"/>
    <row r="777" customFormat="1" ht="15.75" customHeight="1" x14ac:dyDescent="0.3"/>
    <row r="778" customFormat="1" ht="15.75" customHeight="1" x14ac:dyDescent="0.3"/>
    <row r="779" customFormat="1" ht="15.75" customHeight="1" x14ac:dyDescent="0.3"/>
    <row r="780" customFormat="1" ht="15.75" customHeight="1" x14ac:dyDescent="0.3"/>
    <row r="781" customFormat="1" ht="15.75" customHeight="1" x14ac:dyDescent="0.3"/>
    <row r="782" customFormat="1" ht="15.75" customHeight="1" x14ac:dyDescent="0.3"/>
    <row r="783" customFormat="1" ht="15.75" customHeight="1" x14ac:dyDescent="0.3"/>
    <row r="784" customFormat="1" ht="15.75" customHeight="1" x14ac:dyDescent="0.3"/>
    <row r="785" customFormat="1" ht="15.75" customHeight="1" x14ac:dyDescent="0.3"/>
    <row r="786" customFormat="1" ht="15.75" customHeight="1" x14ac:dyDescent="0.3"/>
    <row r="787" customFormat="1" ht="15.75" customHeight="1" x14ac:dyDescent="0.3"/>
    <row r="788" customFormat="1" ht="15.75" customHeight="1" x14ac:dyDescent="0.3"/>
    <row r="789" customFormat="1" ht="15.75" customHeight="1" x14ac:dyDescent="0.3"/>
    <row r="790" customFormat="1" ht="15.75" customHeight="1" x14ac:dyDescent="0.3"/>
    <row r="791" customFormat="1" ht="15.75" customHeight="1" x14ac:dyDescent="0.3"/>
    <row r="792" customFormat="1" ht="15.75" customHeight="1" x14ac:dyDescent="0.3"/>
    <row r="793" customFormat="1" ht="15.75" customHeight="1" x14ac:dyDescent="0.3"/>
    <row r="794" customFormat="1" ht="15.75" customHeight="1" x14ac:dyDescent="0.3"/>
    <row r="795" customFormat="1" ht="15.75" customHeight="1" x14ac:dyDescent="0.3"/>
    <row r="796" customFormat="1" ht="15.75" customHeight="1" x14ac:dyDescent="0.3"/>
    <row r="797" customFormat="1" ht="15.75" customHeight="1" x14ac:dyDescent="0.3"/>
    <row r="798" customFormat="1" ht="15.75" customHeight="1" x14ac:dyDescent="0.3"/>
    <row r="799" customFormat="1" ht="15.75" customHeight="1" x14ac:dyDescent="0.3"/>
    <row r="800" customFormat="1" ht="15.75" customHeight="1" x14ac:dyDescent="0.3"/>
    <row r="801" customFormat="1" ht="15.75" customHeight="1" x14ac:dyDescent="0.3"/>
    <row r="802" customFormat="1" ht="15.75" customHeight="1" x14ac:dyDescent="0.3"/>
    <row r="803" customFormat="1" ht="15.75" customHeight="1" x14ac:dyDescent="0.3"/>
    <row r="804" customFormat="1" ht="15.75" customHeight="1" x14ac:dyDescent="0.3"/>
    <row r="805" customFormat="1" ht="15.75" customHeight="1" x14ac:dyDescent="0.3"/>
    <row r="806" customFormat="1" ht="15.75" customHeight="1" x14ac:dyDescent="0.3"/>
    <row r="807" customFormat="1" ht="15.75" customHeight="1" x14ac:dyDescent="0.3"/>
    <row r="808" customFormat="1" ht="15.75" customHeight="1" x14ac:dyDescent="0.3"/>
    <row r="809" customFormat="1" ht="15.75" customHeight="1" x14ac:dyDescent="0.3"/>
    <row r="810" customFormat="1" ht="15.75" customHeight="1" x14ac:dyDescent="0.3"/>
    <row r="811" customFormat="1" ht="15.75" customHeight="1" x14ac:dyDescent="0.3"/>
    <row r="812" customFormat="1" ht="15.75" customHeight="1" x14ac:dyDescent="0.3"/>
    <row r="813" customFormat="1" ht="15.75" customHeight="1" x14ac:dyDescent="0.3"/>
    <row r="814" customFormat="1" ht="15.75" customHeight="1" x14ac:dyDescent="0.3"/>
    <row r="815" customFormat="1" ht="15.75" customHeight="1" x14ac:dyDescent="0.3"/>
    <row r="816" customFormat="1" ht="15.75" customHeight="1" x14ac:dyDescent="0.3"/>
    <row r="817" customFormat="1" ht="15.75" customHeight="1" x14ac:dyDescent="0.3"/>
    <row r="818" customFormat="1" ht="15.75" customHeight="1" x14ac:dyDescent="0.3"/>
    <row r="819" customFormat="1" ht="15.75" customHeight="1" x14ac:dyDescent="0.3"/>
    <row r="820" customFormat="1" ht="15.75" customHeight="1" x14ac:dyDescent="0.3"/>
    <row r="821" customFormat="1" ht="15.75" customHeight="1" x14ac:dyDescent="0.3"/>
    <row r="822" customFormat="1" ht="15.75" customHeight="1" x14ac:dyDescent="0.3"/>
    <row r="823" customFormat="1" ht="15.75" customHeight="1" x14ac:dyDescent="0.3"/>
    <row r="824" customFormat="1" ht="15.75" customHeight="1" x14ac:dyDescent="0.3"/>
    <row r="825" customFormat="1" ht="15.75" customHeight="1" x14ac:dyDescent="0.3"/>
    <row r="826" customFormat="1" ht="15.75" customHeight="1" x14ac:dyDescent="0.3"/>
    <row r="827" customFormat="1" ht="15.75" customHeight="1" x14ac:dyDescent="0.3"/>
    <row r="828" customFormat="1" ht="15.75" customHeight="1" x14ac:dyDescent="0.3"/>
    <row r="829" customFormat="1" ht="15.75" customHeight="1" x14ac:dyDescent="0.3"/>
    <row r="830" customFormat="1" ht="15.75" customHeight="1" x14ac:dyDescent="0.3"/>
    <row r="831" customFormat="1" ht="15.75" customHeight="1" x14ac:dyDescent="0.3"/>
    <row r="832" customFormat="1" ht="15.75" customHeight="1" x14ac:dyDescent="0.3"/>
    <row r="833" customFormat="1" ht="15.75" customHeight="1" x14ac:dyDescent="0.3"/>
    <row r="834" customFormat="1" ht="15.75" customHeight="1" x14ac:dyDescent="0.3"/>
    <row r="835" customFormat="1" ht="15.75" customHeight="1" x14ac:dyDescent="0.3"/>
    <row r="836" customFormat="1" ht="15.75" customHeight="1" x14ac:dyDescent="0.3"/>
    <row r="837" customFormat="1" ht="15.75" customHeight="1" x14ac:dyDescent="0.3"/>
    <row r="838" customFormat="1" ht="15.75" customHeight="1" x14ac:dyDescent="0.3"/>
    <row r="839" customFormat="1" ht="15.75" customHeight="1" x14ac:dyDescent="0.3"/>
    <row r="840" customFormat="1" ht="15.75" customHeight="1" x14ac:dyDescent="0.3"/>
    <row r="841" customFormat="1" ht="15.75" customHeight="1" x14ac:dyDescent="0.3"/>
    <row r="842" customFormat="1" ht="15.75" customHeight="1" x14ac:dyDescent="0.3"/>
    <row r="843" customFormat="1" ht="15.75" customHeight="1" x14ac:dyDescent="0.3"/>
    <row r="844" customFormat="1" ht="15.75" customHeight="1" x14ac:dyDescent="0.3"/>
    <row r="845" customFormat="1" ht="15.75" customHeight="1" x14ac:dyDescent="0.3"/>
    <row r="846" customFormat="1" ht="15.75" customHeight="1" x14ac:dyDescent="0.3"/>
    <row r="847" customFormat="1" ht="15.75" customHeight="1" x14ac:dyDescent="0.3"/>
    <row r="848" customFormat="1" ht="15.75" customHeight="1" x14ac:dyDescent="0.3"/>
    <row r="849" customFormat="1" ht="15.75" customHeight="1" x14ac:dyDescent="0.3"/>
    <row r="850" customFormat="1" ht="15.75" customHeight="1" x14ac:dyDescent="0.3"/>
    <row r="851" customFormat="1" ht="15.75" customHeight="1" x14ac:dyDescent="0.3"/>
    <row r="852" customFormat="1" ht="15.75" customHeight="1" x14ac:dyDescent="0.3"/>
    <row r="853" customFormat="1" ht="15.75" customHeight="1" x14ac:dyDescent="0.3"/>
    <row r="854" customFormat="1" ht="15.75" customHeight="1" x14ac:dyDescent="0.3"/>
    <row r="855" customFormat="1" ht="15.75" customHeight="1" x14ac:dyDescent="0.3"/>
    <row r="856" customFormat="1" ht="15.75" customHeight="1" x14ac:dyDescent="0.3"/>
    <row r="857" customFormat="1" ht="15.75" customHeight="1" x14ac:dyDescent="0.3"/>
    <row r="858" customFormat="1" ht="15.75" customHeight="1" x14ac:dyDescent="0.3"/>
    <row r="859" customFormat="1" ht="15.75" customHeight="1" x14ac:dyDescent="0.3"/>
    <row r="860" customFormat="1" ht="15.75" customHeight="1" x14ac:dyDescent="0.3"/>
    <row r="861" customFormat="1" ht="15.75" customHeight="1" x14ac:dyDescent="0.3"/>
    <row r="862" customFormat="1" ht="15.75" customHeight="1" x14ac:dyDescent="0.3"/>
    <row r="863" customFormat="1" ht="15.75" customHeight="1" x14ac:dyDescent="0.3"/>
    <row r="864" customFormat="1" ht="15.75" customHeight="1" x14ac:dyDescent="0.3"/>
    <row r="865" customFormat="1" ht="15.75" customHeight="1" x14ac:dyDescent="0.3"/>
    <row r="866" customFormat="1" ht="15.75" customHeight="1" x14ac:dyDescent="0.3"/>
    <row r="867" customFormat="1" ht="15.75" customHeight="1" x14ac:dyDescent="0.3"/>
    <row r="868" customFormat="1" ht="15.75" customHeight="1" x14ac:dyDescent="0.3"/>
    <row r="869" customFormat="1" ht="15.75" customHeight="1" x14ac:dyDescent="0.3"/>
    <row r="870" customFormat="1" ht="15.75" customHeight="1" x14ac:dyDescent="0.3"/>
    <row r="871" customFormat="1" ht="15.75" customHeight="1" x14ac:dyDescent="0.3"/>
    <row r="872" customFormat="1" ht="15.75" customHeight="1" x14ac:dyDescent="0.3"/>
    <row r="873" customFormat="1" ht="15.75" customHeight="1" x14ac:dyDescent="0.3"/>
    <row r="874" customFormat="1" ht="15.75" customHeight="1" x14ac:dyDescent="0.3"/>
    <row r="875" customFormat="1" ht="15.75" customHeight="1" x14ac:dyDescent="0.3"/>
    <row r="876" customFormat="1" ht="15.75" customHeight="1" x14ac:dyDescent="0.3"/>
    <row r="877" customFormat="1" ht="15.75" customHeight="1" x14ac:dyDescent="0.3"/>
    <row r="878" customFormat="1" ht="15.75" customHeight="1" x14ac:dyDescent="0.3"/>
    <row r="879" customFormat="1" ht="15.75" customHeight="1" x14ac:dyDescent="0.3"/>
    <row r="880" customFormat="1" ht="15.75" customHeight="1" x14ac:dyDescent="0.3"/>
    <row r="881" customFormat="1" ht="15.75" customHeight="1" x14ac:dyDescent="0.3"/>
    <row r="882" customFormat="1" ht="15.75" customHeight="1" x14ac:dyDescent="0.3"/>
    <row r="883" customFormat="1" ht="15.75" customHeight="1" x14ac:dyDescent="0.3"/>
    <row r="884" customFormat="1" ht="15.75" customHeight="1" x14ac:dyDescent="0.3"/>
    <row r="885" customFormat="1" ht="15.75" customHeight="1" x14ac:dyDescent="0.3"/>
    <row r="886" customFormat="1" ht="15.75" customHeight="1" x14ac:dyDescent="0.3"/>
    <row r="887" customFormat="1" ht="15.75" customHeight="1" x14ac:dyDescent="0.3"/>
    <row r="888" customFormat="1" ht="15.75" customHeight="1" x14ac:dyDescent="0.3"/>
    <row r="889" customFormat="1" ht="15.75" customHeight="1" x14ac:dyDescent="0.3"/>
    <row r="890" customFormat="1" ht="15.75" customHeight="1" x14ac:dyDescent="0.3"/>
    <row r="891" customFormat="1" ht="15.75" customHeight="1" x14ac:dyDescent="0.3"/>
    <row r="892" customFormat="1" ht="15.75" customHeight="1" x14ac:dyDescent="0.3"/>
    <row r="893" customFormat="1" ht="15.75" customHeight="1" x14ac:dyDescent="0.3"/>
    <row r="894" customFormat="1" ht="15.75" customHeight="1" x14ac:dyDescent="0.3"/>
    <row r="895" customFormat="1" ht="15.75" customHeight="1" x14ac:dyDescent="0.3"/>
    <row r="896" customFormat="1" ht="15.75" customHeight="1" x14ac:dyDescent="0.3"/>
    <row r="897" customFormat="1" ht="15.75" customHeight="1" x14ac:dyDescent="0.3"/>
    <row r="898" customFormat="1" ht="15.75" customHeight="1" x14ac:dyDescent="0.3"/>
    <row r="899" customFormat="1" ht="15.75" customHeight="1" x14ac:dyDescent="0.3"/>
    <row r="900" customFormat="1" ht="15.75" customHeight="1" x14ac:dyDescent="0.3"/>
    <row r="901" customFormat="1" ht="15.75" customHeight="1" x14ac:dyDescent="0.3"/>
    <row r="902" customFormat="1" ht="15.75" customHeight="1" x14ac:dyDescent="0.3"/>
    <row r="903" customFormat="1" ht="15.75" customHeight="1" x14ac:dyDescent="0.3"/>
    <row r="904" customFormat="1" ht="15.75" customHeight="1" x14ac:dyDescent="0.3"/>
    <row r="905" customFormat="1" ht="15.75" customHeight="1" x14ac:dyDescent="0.3"/>
    <row r="906" customFormat="1" ht="15.75" customHeight="1" x14ac:dyDescent="0.3"/>
    <row r="907" customFormat="1" ht="15.75" customHeight="1" x14ac:dyDescent="0.3"/>
    <row r="908" customFormat="1" ht="15.75" customHeight="1" x14ac:dyDescent="0.3"/>
    <row r="909" customFormat="1" ht="15.75" customHeight="1" x14ac:dyDescent="0.3"/>
    <row r="910" customFormat="1" ht="15.75" customHeight="1" x14ac:dyDescent="0.3"/>
    <row r="911" customFormat="1" ht="15.75" customHeight="1" x14ac:dyDescent="0.3"/>
    <row r="912" customFormat="1" ht="15.75" customHeight="1" x14ac:dyDescent="0.3"/>
    <row r="913" customFormat="1" ht="15.75" customHeight="1" x14ac:dyDescent="0.3"/>
    <row r="914" customFormat="1" ht="15.75" customHeight="1" x14ac:dyDescent="0.3"/>
    <row r="915" customFormat="1" ht="15.75" customHeight="1" x14ac:dyDescent="0.3"/>
    <row r="916" customFormat="1" ht="15.75" customHeight="1" x14ac:dyDescent="0.3"/>
    <row r="917" customFormat="1" ht="15.75" customHeight="1" x14ac:dyDescent="0.3"/>
    <row r="918" customFormat="1" ht="15.75" customHeight="1" x14ac:dyDescent="0.3"/>
    <row r="919" customFormat="1" ht="15.75" customHeight="1" x14ac:dyDescent="0.3"/>
    <row r="920" customFormat="1" ht="15.75" customHeight="1" x14ac:dyDescent="0.3"/>
    <row r="921" customFormat="1" ht="15.75" customHeight="1" x14ac:dyDescent="0.3"/>
    <row r="922" customFormat="1" ht="15.75" customHeight="1" x14ac:dyDescent="0.3"/>
    <row r="923" customFormat="1" ht="15.75" customHeight="1" x14ac:dyDescent="0.3"/>
    <row r="924" customFormat="1" ht="15.75" customHeight="1" x14ac:dyDescent="0.3"/>
    <row r="925" customFormat="1" ht="15.75" customHeight="1" x14ac:dyDescent="0.3"/>
    <row r="926" customFormat="1" ht="15.75" customHeight="1" x14ac:dyDescent="0.3"/>
    <row r="927" customFormat="1" ht="15.75" customHeight="1" x14ac:dyDescent="0.3"/>
    <row r="928" customFormat="1" ht="15.75" customHeight="1" x14ac:dyDescent="0.3"/>
    <row r="929" customFormat="1" ht="15.75" customHeight="1" x14ac:dyDescent="0.3"/>
    <row r="930" customFormat="1" ht="15.75" customHeight="1" x14ac:dyDescent="0.3"/>
    <row r="931" customFormat="1" ht="15.75" customHeight="1" x14ac:dyDescent="0.3"/>
    <row r="932" customFormat="1" ht="15.75" customHeight="1" x14ac:dyDescent="0.3"/>
    <row r="933" customFormat="1" ht="15.75" customHeight="1" x14ac:dyDescent="0.3"/>
    <row r="934" customFormat="1" ht="15.75" customHeight="1" x14ac:dyDescent="0.3"/>
    <row r="935" customFormat="1" ht="15.75" customHeight="1" x14ac:dyDescent="0.3"/>
    <row r="936" customFormat="1" ht="15.75" customHeight="1" x14ac:dyDescent="0.3"/>
    <row r="937" customFormat="1" ht="15.75" customHeight="1" x14ac:dyDescent="0.3"/>
    <row r="938" customFormat="1" ht="15.75" customHeight="1" x14ac:dyDescent="0.3"/>
    <row r="939" customFormat="1" ht="15.75" customHeight="1" x14ac:dyDescent="0.3"/>
    <row r="940" customFormat="1" ht="15.75" customHeight="1" x14ac:dyDescent="0.3"/>
    <row r="941" customFormat="1" ht="15.75" customHeight="1" x14ac:dyDescent="0.3"/>
    <row r="942" customFormat="1" ht="15.75" customHeight="1" x14ac:dyDescent="0.3"/>
    <row r="943" customFormat="1" ht="15.75" customHeight="1" x14ac:dyDescent="0.3"/>
    <row r="944" customFormat="1" ht="15.75" customHeight="1" x14ac:dyDescent="0.3"/>
    <row r="945" customFormat="1" ht="15.75" customHeight="1" x14ac:dyDescent="0.3"/>
    <row r="946" customFormat="1" ht="15.75" customHeight="1" x14ac:dyDescent="0.3"/>
    <row r="947" customFormat="1" ht="15.75" customHeight="1" x14ac:dyDescent="0.3"/>
    <row r="948" customFormat="1" ht="15.75" customHeight="1" x14ac:dyDescent="0.3"/>
    <row r="949" customFormat="1" ht="15.75" customHeight="1" x14ac:dyDescent="0.3"/>
    <row r="950" customFormat="1" ht="15.75" customHeight="1" x14ac:dyDescent="0.3"/>
    <row r="951" customFormat="1" ht="15.75" customHeight="1" x14ac:dyDescent="0.3"/>
    <row r="952" customFormat="1" ht="15.75" customHeight="1" x14ac:dyDescent="0.3"/>
    <row r="953" customFormat="1" ht="15.75" customHeight="1" x14ac:dyDescent="0.3"/>
    <row r="954" customFormat="1" ht="15.75" customHeight="1" x14ac:dyDescent="0.3"/>
    <row r="955" customFormat="1" ht="15.75" customHeight="1" x14ac:dyDescent="0.3"/>
    <row r="956" customFormat="1" ht="15.75" customHeight="1" x14ac:dyDescent="0.3"/>
    <row r="957" customFormat="1" ht="15.75" customHeight="1" x14ac:dyDescent="0.3"/>
    <row r="958" customFormat="1" ht="15.75" customHeight="1" x14ac:dyDescent="0.3"/>
    <row r="959" customFormat="1" ht="15.75" customHeight="1" x14ac:dyDescent="0.3"/>
    <row r="960" customFormat="1" ht="15.75" customHeight="1" x14ac:dyDescent="0.3"/>
    <row r="961" customFormat="1" ht="15.75" customHeight="1" x14ac:dyDescent="0.3"/>
    <row r="962" customFormat="1" ht="15.75" customHeight="1" x14ac:dyDescent="0.3"/>
    <row r="963" customFormat="1" ht="15.75" customHeight="1" x14ac:dyDescent="0.3"/>
    <row r="964" customFormat="1" ht="15.75" customHeight="1" x14ac:dyDescent="0.3"/>
    <row r="965" customFormat="1" ht="15.75" customHeight="1" x14ac:dyDescent="0.3"/>
    <row r="966" customFormat="1" ht="15.75" customHeight="1" x14ac:dyDescent="0.3"/>
    <row r="967" customFormat="1" ht="15.75" customHeight="1" x14ac:dyDescent="0.3"/>
    <row r="968" customFormat="1" ht="15.75" customHeight="1" x14ac:dyDescent="0.3"/>
    <row r="969" customFormat="1" ht="15.75" customHeight="1" x14ac:dyDescent="0.3"/>
    <row r="970" customFormat="1" ht="15.75" customHeight="1" x14ac:dyDescent="0.3"/>
    <row r="971" customFormat="1" ht="15.75" customHeight="1" x14ac:dyDescent="0.3"/>
    <row r="972" customFormat="1" ht="15.75" customHeight="1" x14ac:dyDescent="0.3"/>
    <row r="973" customFormat="1" ht="15.75" customHeight="1" x14ac:dyDescent="0.3"/>
    <row r="974" customFormat="1" ht="15.75" customHeight="1" x14ac:dyDescent="0.3"/>
    <row r="975" customFormat="1" ht="15.75" customHeight="1" x14ac:dyDescent="0.3"/>
    <row r="976" customFormat="1" ht="15.75" customHeight="1" x14ac:dyDescent="0.3"/>
    <row r="977" customFormat="1" ht="15.75" customHeight="1" x14ac:dyDescent="0.3"/>
    <row r="978" customFormat="1" ht="15.75" customHeight="1" x14ac:dyDescent="0.3"/>
    <row r="979" customFormat="1" ht="15.75" customHeight="1" x14ac:dyDescent="0.3"/>
    <row r="980" customFormat="1" ht="15.75" customHeight="1" x14ac:dyDescent="0.3"/>
    <row r="981" customFormat="1" ht="15.75" customHeight="1" x14ac:dyDescent="0.3"/>
    <row r="982" customFormat="1" ht="15.75" customHeight="1" x14ac:dyDescent="0.3"/>
    <row r="983" customFormat="1" ht="15.75" customHeight="1" x14ac:dyDescent="0.3"/>
    <row r="984" customFormat="1" ht="15.75" customHeight="1" x14ac:dyDescent="0.3"/>
    <row r="985" customFormat="1" ht="15.75" customHeight="1" x14ac:dyDescent="0.3"/>
    <row r="986" customFormat="1" ht="15.75" customHeight="1" x14ac:dyDescent="0.3"/>
    <row r="987" customFormat="1" ht="15.75" customHeight="1" x14ac:dyDescent="0.3"/>
    <row r="988" customFormat="1" ht="15.75" customHeight="1" x14ac:dyDescent="0.3"/>
    <row r="989" customFormat="1" ht="15.75" customHeight="1" x14ac:dyDescent="0.3"/>
    <row r="990" customFormat="1" ht="15.75" customHeight="1" x14ac:dyDescent="0.3"/>
    <row r="991" customFormat="1" ht="15.75" customHeight="1" x14ac:dyDescent="0.3"/>
    <row r="992" customFormat="1" ht="15.75" customHeight="1" x14ac:dyDescent="0.3"/>
    <row r="993" customFormat="1" ht="15.75" customHeight="1" x14ac:dyDescent="0.3"/>
    <row r="994" customFormat="1" ht="15.75" customHeight="1" x14ac:dyDescent="0.3"/>
    <row r="995" customFormat="1" ht="15.75" customHeight="1" x14ac:dyDescent="0.3"/>
    <row r="996" customFormat="1" ht="15.75" customHeight="1" x14ac:dyDescent="0.3"/>
    <row r="997" customFormat="1" ht="15.75" customHeight="1" x14ac:dyDescent="0.3"/>
    <row r="998" customFormat="1" ht="15.75" customHeight="1" x14ac:dyDescent="0.3"/>
    <row r="999" customFormat="1" ht="15.75" customHeight="1" x14ac:dyDescent="0.3"/>
    <row r="1000" customFormat="1" ht="15.75" customHeight="1" x14ac:dyDescent="0.3"/>
  </sheetData>
  <mergeCells count="28">
    <mergeCell ref="A174:C174"/>
    <mergeCell ref="A177:C177"/>
    <mergeCell ref="A179:C179"/>
    <mergeCell ref="A181:C181"/>
    <mergeCell ref="A153:C153"/>
    <mergeCell ref="A157:C157"/>
    <mergeCell ref="A161:C161"/>
    <mergeCell ref="A168:C168"/>
    <mergeCell ref="A170:C170"/>
    <mergeCell ref="A172:C172"/>
    <mergeCell ref="A125:C125"/>
    <mergeCell ref="A129:C129"/>
    <mergeCell ref="A133:C133"/>
    <mergeCell ref="A137:C137"/>
    <mergeCell ref="A141:C141"/>
    <mergeCell ref="A151:C151"/>
    <mergeCell ref="A96:C96"/>
    <mergeCell ref="A102:C102"/>
    <mergeCell ref="A106:C106"/>
    <mergeCell ref="A112:C112"/>
    <mergeCell ref="A117:C117"/>
    <mergeCell ref="A121:C121"/>
    <mergeCell ref="A2:C2"/>
    <mergeCell ref="A27:C27"/>
    <mergeCell ref="A58:C58"/>
    <mergeCell ref="A61:C61"/>
    <mergeCell ref="A82:C82"/>
    <mergeCell ref="A91:C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Perencanaan RSUD Deli Serdang</dc:creator>
  <cp:lastModifiedBy>Perencanaan RSUD Deli Serdang</cp:lastModifiedBy>
  <dcterms:created xsi:type="dcterms:W3CDTF">2025-09-18T03:33:19Z</dcterms:created>
  <dcterms:modified xsi:type="dcterms:W3CDTF">2025-09-18T03:34:06Z</dcterms:modified>
</cp:coreProperties>
</file>